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851" activeTab="7"/>
  </bookViews>
  <sheets>
    <sheet name="ЦФУ Продажи" sheetId="1" r:id="rId1"/>
    <sheet name="ЦФУ Посуда" sheetId="2" r:id="rId2"/>
    <sheet name="ЦФУ Оборуд." sheetId="3" r:id="rId3"/>
    <sheet name="ЦФУ Текстиль" sheetId="4" r:id="rId4"/>
    <sheet name="ЦФУ Закупка" sheetId="5" r:id="rId5"/>
    <sheet name="ЦФУ Доставка" sheetId="6" r:id="rId6"/>
    <sheet name="ЦФУ Бухгалт." sheetId="7" r:id="rId7"/>
    <sheet name="СВОДНАЯ" sheetId="8" r:id="rId8"/>
    <sheet name="$ в БП" sheetId="9" r:id="rId9"/>
    <sheet name="БП" sheetId="10" r:id="rId10"/>
    <sheet name="Дисконт" sheetId="11" r:id="rId11"/>
    <sheet name="Скидки" sheetId="12" r:id="rId12"/>
    <sheet name="ИП" sheetId="13" r:id="rId13"/>
  </sheets>
  <definedNames>
    <definedName name="_xlnm.Print_Area" localSheetId="8">'$ в БП'!$A$1:$AZ$51</definedName>
    <definedName name="_xlnm.Print_Area" localSheetId="3">'ЦФУ Текстиль'!$A$1:$AZ$149</definedName>
  </definedNames>
  <calcPr fullCalcOnLoad="1"/>
</workbook>
</file>

<file path=xl/sharedStrings.xml><?xml version="1.0" encoding="utf-8"?>
<sst xmlns="http://schemas.openxmlformats.org/spreadsheetml/2006/main" count="2424" uniqueCount="352">
  <si>
    <t>Фатима</t>
  </si>
  <si>
    <t>Алексей</t>
  </si>
  <si>
    <t>Менеджер</t>
  </si>
  <si>
    <t>Валентин</t>
  </si>
  <si>
    <t>Денис</t>
  </si>
  <si>
    <t>Руководитель</t>
  </si>
  <si>
    <t>ПОСУДА</t>
  </si>
  <si>
    <t>ОБОРУДОВАНИЕ</t>
  </si>
  <si>
    <t>ТЕКСТИЛЬ</t>
  </si>
  <si>
    <t>БУХГАЛТЕРИЯ</t>
  </si>
  <si>
    <t>Мин. з/п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</si>
  <si>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</si>
  <si>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</si>
  <si>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</si>
  <si>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</si>
  <si>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</si>
  <si>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</si>
  <si>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</si>
  <si>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</si>
  <si>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</si>
  <si>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</si>
  <si>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</si>
  <si>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</si>
  <si>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План</t>
  </si>
  <si>
    <t>Вал</t>
  </si>
  <si>
    <t>з/п</t>
  </si>
  <si>
    <t>Премия ЦФУ</t>
  </si>
  <si>
    <t>Ирина Викт.</t>
  </si>
  <si>
    <t>Итого на руки</t>
  </si>
  <si>
    <t>Начислено</t>
  </si>
  <si>
    <t>Доход ЦФУ</t>
  </si>
  <si>
    <t>Доход ЦФУ Посуда</t>
  </si>
  <si>
    <t>НАЗВАНИЕ ЦФУ</t>
  </si>
  <si>
    <t>%</t>
  </si>
  <si>
    <t>Оклад</t>
  </si>
  <si>
    <t>Общий %</t>
  </si>
  <si>
    <t>Бонус %</t>
  </si>
  <si>
    <t>Доход ЦФУ Оборудование</t>
  </si>
  <si>
    <t>Доход ЦФУ Текстиль</t>
  </si>
  <si>
    <t>Примечания</t>
  </si>
  <si>
    <t>Доход формируется как оклад+общий процент, при выполнении плана + процент бонуса от всей суммы</t>
  </si>
  <si>
    <t>Расходы бюджет</t>
  </si>
  <si>
    <t>Расходы реально</t>
  </si>
  <si>
    <t>Экономия ЦФУ</t>
  </si>
  <si>
    <t>Прибыль ЦФУ %</t>
  </si>
  <si>
    <t>Прибыль с эконом.</t>
  </si>
  <si>
    <t>Должность</t>
  </si>
  <si>
    <t>С прибыли %</t>
  </si>
  <si>
    <t>С экономии %</t>
  </si>
  <si>
    <t>Инициатор</t>
  </si>
  <si>
    <t>ЦФУ</t>
  </si>
  <si>
    <t>Это не касается нововведений</t>
  </si>
  <si>
    <t>ЦФУ ПОСУДА</t>
  </si>
  <si>
    <t>Дотация %</t>
  </si>
  <si>
    <t>Дотация тысяч рублей</t>
  </si>
  <si>
    <t>Дотация реально</t>
  </si>
  <si>
    <t>Прибыль ЦФУ с дот.</t>
  </si>
  <si>
    <t>Прибыль компании</t>
  </si>
  <si>
    <t>На руки з/п</t>
  </si>
  <si>
    <t>Разница с планом</t>
  </si>
  <si>
    <t>ЦФУ Посуда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</si>
  <si>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</si>
  <si>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</si>
  <si>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</si>
  <si>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</si>
  <si>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</si>
  <si>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</si>
  <si>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</si>
  <si>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</si>
  <si>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</si>
  <si>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</si>
  <si>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</si>
  <si>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ЦФУ Оборудование</t>
  </si>
  <si>
    <t xml:space="preserve">ЦФУ </t>
  </si>
  <si>
    <t>ЦФУ Текстиль</t>
  </si>
  <si>
    <t>вал</t>
  </si>
  <si>
    <t>дотации</t>
  </si>
  <si>
    <t>прочие расходы</t>
  </si>
  <si>
    <t>Всего расходов</t>
  </si>
  <si>
    <t>ИТОГО ПРОДАЖИ</t>
  </si>
  <si>
    <t>Поправка на отпускников</t>
  </si>
  <si>
    <t>БД список</t>
  </si>
  <si>
    <t>БД в 1С</t>
  </si>
  <si>
    <t>Зафиксировать в 1С</t>
  </si>
  <si>
    <t>Опросный лист</t>
  </si>
  <si>
    <t>Спецификация</t>
  </si>
  <si>
    <t>Передать менеджеру</t>
  </si>
  <si>
    <t>Запрос закупкам</t>
  </si>
  <si>
    <t>Договор, счет</t>
  </si>
  <si>
    <t>Оплата</t>
  </si>
  <si>
    <t>Заказ закупкам</t>
  </si>
  <si>
    <t>БД работа</t>
  </si>
  <si>
    <t>Сбор инфы</t>
  </si>
  <si>
    <t>Закупкам за запрос</t>
  </si>
  <si>
    <t>Закупкам за заказ</t>
  </si>
  <si>
    <t>Заказ доставки</t>
  </si>
  <si>
    <t>Оплата счета поставщика</t>
  </si>
  <si>
    <t>Отследить отгрузку у поставщика</t>
  </si>
  <si>
    <t>Отгрузка у оператора в Краснодаре</t>
  </si>
  <si>
    <t>Ответ получить (реестр)</t>
  </si>
  <si>
    <t>Согласовать с покупателем</t>
  </si>
  <si>
    <t>Перевозка на наш склад</t>
  </si>
  <si>
    <t>Оприходование</t>
  </si>
  <si>
    <t>Разгрузка</t>
  </si>
  <si>
    <t>Отгрузка покупателю</t>
  </si>
  <si>
    <t>Закрывающие документы получить</t>
  </si>
  <si>
    <t>Предупредить покупателя доки</t>
  </si>
  <si>
    <t>Выписать доки на отгрузку</t>
  </si>
  <si>
    <t>Закрывающие документы сдать</t>
  </si>
  <si>
    <t>Посчитать сделку</t>
  </si>
  <si>
    <t>Бухгалтерии за печать</t>
  </si>
  <si>
    <t>Оплата счета за доставку</t>
  </si>
  <si>
    <t>Доверенность в бухгалтерии</t>
  </si>
  <si>
    <t>Закуп</t>
  </si>
  <si>
    <t>Дост</t>
  </si>
  <si>
    <t>Бухг</t>
  </si>
  <si>
    <t>Продажа доставки</t>
  </si>
  <si>
    <t>Продаж</t>
  </si>
  <si>
    <t>ПОЛУЧАЮТ</t>
  </si>
  <si>
    <t>ПЛАТЯТ</t>
  </si>
  <si>
    <t>Занесение в реестр</t>
  </si>
  <si>
    <t>Зачем разделили уборку и уборку товара в шоу-руме?</t>
  </si>
  <si>
    <t>Все действия бухгалтерии с оплатами и выписками</t>
  </si>
  <si>
    <t>Все действия с реестрами и кому это нужно</t>
  </si>
  <si>
    <t>Оприходавание идет через бухгалтерию, а получение и т.д.</t>
  </si>
  <si>
    <t>Для закупки:</t>
  </si>
  <si>
    <t>Вал с коэф. Для закупки</t>
  </si>
  <si>
    <t>для доставки</t>
  </si>
  <si>
    <t>Доход ЦФУ Закупка</t>
  </si>
  <si>
    <t>ЦФУ Закупка</t>
  </si>
  <si>
    <t>Средний дисконт%</t>
  </si>
  <si>
    <t>ДОСТАВКА</t>
  </si>
  <si>
    <t>Доход ЦФУ Доставка и Склад</t>
  </si>
  <si>
    <t>ЦФУ Доставка</t>
  </si>
  <si>
    <t>Доход ЦФУ Бухгалтерия и Кадры</t>
  </si>
  <si>
    <t>ЦФУ Бухгалтерия</t>
  </si>
  <si>
    <t>Доход абонентский</t>
  </si>
  <si>
    <t>ВАЛ</t>
  </si>
  <si>
    <t>ИТОГО РАСХОД %</t>
  </si>
  <si>
    <t>ИТОГО РАСХОД  рубли</t>
  </si>
  <si>
    <t>ДОХОД</t>
  </si>
  <si>
    <t>ПРИБЫЛЬ</t>
  </si>
  <si>
    <t>Введите валовую рентабельность</t>
  </si>
  <si>
    <t>У</t>
  </si>
  <si>
    <t>Б</t>
  </si>
  <si>
    <t>Ы</t>
  </si>
  <si>
    <t>Т</t>
  </si>
  <si>
    <t>К</t>
  </si>
  <si>
    <t>И</t>
  </si>
  <si>
    <t>от вала</t>
  </si>
  <si>
    <t>Введите наценку</t>
  </si>
  <si>
    <t>или</t>
  </si>
  <si>
    <t>% от вала</t>
  </si>
  <si>
    <t>Введите коэффициент от вала для доставки:</t>
  </si>
  <si>
    <t>$</t>
  </si>
  <si>
    <t xml:space="preserve"> </t>
  </si>
  <si>
    <t>Действие</t>
  </si>
  <si>
    <t>закупка</t>
  </si>
  <si>
    <t>доставка</t>
  </si>
  <si>
    <t>человек</t>
  </si>
  <si>
    <t>абонемнет</t>
  </si>
  <si>
    <t>Количество абонентов</t>
  </si>
  <si>
    <t>Елене Евгеньевне доплачивать с прибыли других ЦФУ</t>
  </si>
  <si>
    <t>условие: если убыточны 2 и более - без премии</t>
  </si>
  <si>
    <t>если убыточно 1 - 50% премии</t>
  </si>
  <si>
    <t>Убытки считаются сверхплановые.</t>
  </si>
  <si>
    <t>Развести Вику и Елену Евгеньевну на отдельные ЦФУ</t>
  </si>
  <si>
    <t>расходы на кадры????</t>
  </si>
  <si>
    <t>дотации расчет</t>
  </si>
  <si>
    <t>БП ПРОДАЖИ</t>
  </si>
  <si>
    <t>БП ЗАКУПКА</t>
  </si>
  <si>
    <t>БП ДОСТАВКА</t>
  </si>
  <si>
    <t>БП БУХГАЛТЕРИЯ</t>
  </si>
  <si>
    <t>Доверенность на отгрузку</t>
  </si>
  <si>
    <t>наценка</t>
  </si>
  <si>
    <t>дисконт</t>
  </si>
  <si>
    <t>цена</t>
  </si>
  <si>
    <t>компании</t>
  </si>
  <si>
    <t>агенту</t>
  </si>
  <si>
    <t>% агента</t>
  </si>
  <si>
    <t>РЕШЕНИЕ</t>
  </si>
  <si>
    <t>СКИДКИ</t>
  </si>
  <si>
    <t>для менед</t>
  </si>
  <si>
    <t>сумма</t>
  </si>
  <si>
    <t>со скидкой</t>
  </si>
  <si>
    <t>был расход</t>
  </si>
  <si>
    <t>стал расход</t>
  </si>
  <si>
    <t>цена-расх1</t>
  </si>
  <si>
    <t>цена-расх2</t>
  </si>
  <si>
    <t>Реал. Скидка</t>
  </si>
  <si>
    <t>При уменьшении цены расходы уменьшаются</t>
  </si>
  <si>
    <t>выполнено из расчта 10% расходов от вала</t>
  </si>
  <si>
    <t>на чистой прибыли</t>
  </si>
  <si>
    <t>БП СВОДНАЯ</t>
  </si>
  <si>
    <t>коэф.</t>
  </si>
  <si>
    <t>0,1 от продаж</t>
  </si>
  <si>
    <t>5% скидку можем дать</t>
  </si>
  <si>
    <t>4% скидку можем дать</t>
  </si>
  <si>
    <t>3% скидку можем дать</t>
  </si>
  <si>
    <t>2% скидку можем дать</t>
  </si>
  <si>
    <t>1% скидку можем дать</t>
  </si>
  <si>
    <t>6% скидку можем дать</t>
  </si>
  <si>
    <t>7% скидку можем дать</t>
  </si>
  <si>
    <t>Договор с поставщиком</t>
  </si>
  <si>
    <t>Сертификат на товар</t>
  </si>
  <si>
    <t>Получение прайса</t>
  </si>
  <si>
    <t>Получение каталога</t>
  </si>
  <si>
    <t>Платят продажи по тарифам?</t>
  </si>
  <si>
    <t>Отследить доставку в Краснодар</t>
  </si>
  <si>
    <t>ВХОД</t>
  </si>
  <si>
    <t>На счету</t>
  </si>
  <si>
    <t>ЕЩЕ СЕРВИС</t>
  </si>
  <si>
    <t>Введение номенклатуры</t>
  </si>
  <si>
    <t>Введение контрагентов</t>
  </si>
  <si>
    <t>Косяки в 1С - штраф с виновного ЦФУ</t>
  </si>
  <si>
    <t>Получают $</t>
  </si>
  <si>
    <t>Платят $</t>
  </si>
  <si>
    <t>ИТОГО К ВЫПЛАТЕ %:</t>
  </si>
  <si>
    <t>поправка</t>
  </si>
  <si>
    <t>скидка %</t>
  </si>
  <si>
    <t>Выписка путевых листов</t>
  </si>
  <si>
    <t>Всего</t>
  </si>
  <si>
    <t>Абонемент</t>
  </si>
  <si>
    <t>авто</t>
  </si>
  <si>
    <t>Прибыль с ЦФУ</t>
  </si>
  <si>
    <t>Поправка на абонентов</t>
  </si>
  <si>
    <t>Без налога 20%</t>
  </si>
  <si>
    <t>ПРИБЫЛЬ %</t>
  </si>
  <si>
    <t>Оплата грузоперев. 3,15%</t>
  </si>
  <si>
    <t>Прочие расходы</t>
  </si>
  <si>
    <t>средний</t>
  </si>
  <si>
    <t>скопируйте в верхнюю ячейку:</t>
  </si>
  <si>
    <t>Прибыль (% от вала)</t>
  </si>
  <si>
    <t>от цены продаж</t>
  </si>
  <si>
    <t>от цены закупок</t>
  </si>
  <si>
    <t>Прибыль от закупочной  ц.</t>
  </si>
  <si>
    <t>ЗАКУПКИ, ТРАНСПОРТ</t>
  </si>
  <si>
    <t>Поправка на отпускников (минус 1,4 млн. рублей)</t>
  </si>
  <si>
    <t>налог</t>
  </si>
  <si>
    <t>прибыль</t>
  </si>
  <si>
    <t>От вала</t>
  </si>
  <si>
    <t xml:space="preserve">расход </t>
  </si>
  <si>
    <t>Остаток</t>
  </si>
  <si>
    <t>рублей</t>
  </si>
  <si>
    <t>Выгода:</t>
  </si>
  <si>
    <t>Вал:</t>
  </si>
  <si>
    <t>Скидка %:</t>
  </si>
  <si>
    <t>% от стоимости закупки</t>
  </si>
  <si>
    <t>бонус2</t>
  </si>
  <si>
    <t>бонус3</t>
  </si>
  <si>
    <t>план</t>
  </si>
  <si>
    <t>Доход ЦФУ реально</t>
  </si>
  <si>
    <t>Доход ЦФУ план</t>
  </si>
  <si>
    <t>Отклонение</t>
  </si>
  <si>
    <t>Доход ЦФУ  реально</t>
  </si>
  <si>
    <t>ДОХОД ПЛАН 4%</t>
  </si>
  <si>
    <t>ДОХОД РЕАЛЬНО 4%</t>
  </si>
  <si>
    <t xml:space="preserve">ДОХОД ПРОДАЖИ ПЛАН   </t>
  </si>
  <si>
    <t xml:space="preserve">ДОХОД ПРОДАЖИ  ВАЛ   </t>
  </si>
  <si>
    <t>ОТКЛ. ДОХОД 4%</t>
  </si>
  <si>
    <t>ОТКЛ. ДОХОД</t>
  </si>
  <si>
    <t>Сверхприбыль с бонус3</t>
  </si>
  <si>
    <t>Человек</t>
  </si>
  <si>
    <t>Доход план  по расходам</t>
  </si>
  <si>
    <t>Доход план  по расходам %</t>
  </si>
  <si>
    <t>Дотация $</t>
  </si>
  <si>
    <t>Продажи все Дотация $</t>
  </si>
  <si>
    <t>Продажи все Дотация %</t>
  </si>
  <si>
    <t>СТОИМОСТЬ ПРОДАЖ %</t>
  </si>
  <si>
    <t>Дотация%</t>
  </si>
  <si>
    <t>Бонус3</t>
  </si>
  <si>
    <t>Бонус 3</t>
  </si>
  <si>
    <t>Бонус 3 на чел.</t>
  </si>
  <si>
    <t>План Бонус 3</t>
  </si>
  <si>
    <t>общ. ЦФУ</t>
  </si>
  <si>
    <t>общ.Прод.</t>
  </si>
  <si>
    <t>Руковод.</t>
  </si>
  <si>
    <t>бонус рук.</t>
  </si>
  <si>
    <t>Коэффициент руководителя</t>
  </si>
  <si>
    <t>Количество человек:</t>
  </si>
  <si>
    <t>бонус 3 всех продаж</t>
  </si>
  <si>
    <t>бонус3 на отдел</t>
  </si>
  <si>
    <t>Процент ЦФУ</t>
  </si>
  <si>
    <t xml:space="preserve">Прибыль ЦФУ </t>
  </si>
  <si>
    <t>без учета мин з/п</t>
  </si>
  <si>
    <t>Поправка на расходы 5250</t>
  </si>
  <si>
    <t>Дотации ЦФУ продажи</t>
  </si>
  <si>
    <t>Прибыль ЦФУ Продажи</t>
  </si>
  <si>
    <t>Доход ЦФУ Продажи</t>
  </si>
  <si>
    <t>СМ. СВОДНУЮ ТАБЛИЦУ</t>
  </si>
  <si>
    <t>Поиск интересантов (БД)</t>
  </si>
  <si>
    <t>Первый контакт, встреча</t>
  </si>
  <si>
    <t>Сбор информации</t>
  </si>
  <si>
    <t>Запрос поставщику (продажи)</t>
  </si>
  <si>
    <t>Запрос поставщику (закупки)</t>
  </si>
  <si>
    <t>Заказ поставщику (продажи)</t>
  </si>
  <si>
    <t>Заказ поставщику (закупки)</t>
  </si>
  <si>
    <t>Заказ покупателя, доставка, сервис</t>
  </si>
  <si>
    <t>Оплата счета поставщику</t>
  </si>
  <si>
    <t>Отгрузка у поставщика</t>
  </si>
  <si>
    <t>Контроль доставки в Краснодар</t>
  </si>
  <si>
    <t>Оплата доставки</t>
  </si>
  <si>
    <t>Закр. Документы поставщика</t>
  </si>
  <si>
    <t>Доставка на склад, складирование</t>
  </si>
  <si>
    <t>Закр. Документы оператора</t>
  </si>
  <si>
    <t>Хранение</t>
  </si>
  <si>
    <t>Закр. Документы покупателя</t>
  </si>
  <si>
    <t>Доставка клиенту</t>
  </si>
  <si>
    <t>Расходные накладные</t>
  </si>
  <si>
    <t>Путевые листы</t>
  </si>
  <si>
    <t>Печати на договорах</t>
  </si>
  <si>
    <t>Доверенности</t>
  </si>
  <si>
    <t>Оплата счетов, контроль прихода</t>
  </si>
  <si>
    <t>Договоры с поставщиками, операторами</t>
  </si>
  <si>
    <t>прайс, каталог, сертификат</t>
  </si>
  <si>
    <t>Дисконты</t>
  </si>
  <si>
    <t>1С: клиенты</t>
  </si>
  <si>
    <t>1С: номенклатура</t>
  </si>
  <si>
    <t>маркетинг</t>
  </si>
  <si>
    <t>сервис</t>
  </si>
  <si>
    <t>прочее</t>
  </si>
  <si>
    <t>оплата при продаже доп. услуг</t>
  </si>
  <si>
    <t>делает бухгалтерия по факту оплаты (результат проверки оплаты)</t>
  </si>
  <si>
    <t>цены, сроки, вилка цен, поправка кратности</t>
  </si>
  <si>
    <t>переход хода к доставке (результат заказа доставки)</t>
  </si>
  <si>
    <t>платят продажи за неделю хранения</t>
  </si>
  <si>
    <t>тарифы?</t>
  </si>
  <si>
    <t>за продажу платят</t>
  </si>
  <si>
    <t>платят продажи за 1С номенклатура, цены</t>
  </si>
  <si>
    <t>дельта</t>
  </si>
  <si>
    <t>проверка</t>
  </si>
  <si>
    <t>тарифы от всех отделов</t>
  </si>
  <si>
    <t>абонемент</t>
  </si>
  <si>
    <t>дополнительная оплата</t>
  </si>
  <si>
    <t>плюс дополнительно по тарифам: до 36000 р. (0,5%)</t>
  </si>
  <si>
    <t>при достижении точки окупаемости - процент уменьшается из-за наложения условия на прибыль ЦФУ</t>
  </si>
  <si>
    <t>Оплата по приходу $</t>
  </si>
  <si>
    <t>Оплата по отгрузке</t>
  </si>
  <si>
    <t>ИТОГО 1,2% + премии</t>
  </si>
  <si>
    <t>ИТОГО 1,075% + премии и еще 0,15% ниже</t>
  </si>
  <si>
    <t>если заказ, то 0,2 делится на оплату заказа + закр. Доки беспл.</t>
  </si>
  <si>
    <t>Заменить на тариф и убрать проценты</t>
  </si>
  <si>
    <t>?</t>
  </si>
  <si>
    <t>Договор, счет, срок оплаты</t>
  </si>
  <si>
    <t>может бухгалтерии заплатить?</t>
  </si>
  <si>
    <t>ЦФУ 3</t>
  </si>
  <si>
    <t>РАСХОД БЕЗ УЧЕТА КАДРОВ и С УЧЕТОМ КОМПЕНСАЦИИ 13000 ОТ  ООО (за отчетность)!!!</t>
  </si>
  <si>
    <t xml:space="preserve">% от оперативных расходов ООО </t>
  </si>
  <si>
    <t>13000-минимальная сумма компенсации ООО ВВЕДИТЕ СУММУ:</t>
  </si>
  <si>
    <t>дотация ООО</t>
  </si>
  <si>
    <t>ЦФУ ООО</t>
  </si>
  <si>
    <t>% от оперативных расходов ООО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</si>
</sst>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_р_."/>
    <numFmt numFmtId="166" formatCode="0.000"/>
    <numFmt numFmtId="167" formatCode="#,##0.000&quot;р.&quot;"/>
    <numFmt numFmtId="168" formatCode="#,##0.000"/>
    <numFmt numFmtId="169" formatCode="0.0000"/>
    <numFmt numFmtId="170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4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6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165" fontId="0" fillId="0" borderId="0" xfId="0" applyNumberFormat="1" applyAlignment="1">
      <alignment/>
    </xf>
    <xf numFmtId="0" fontId="0" fillId="5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2" fillId="6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7" borderId="14" xfId="0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2" fontId="0" fillId="4" borderId="6" xfId="0" applyNumberFormat="1" applyFill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2" fontId="0" fillId="4" borderId="0" xfId="0" applyNumberFormat="1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0" borderId="19" xfId="0" applyBorder="1" applyAlignment="1">
      <alignment horizontal="right"/>
    </xf>
    <xf numFmtId="168" fontId="0" fillId="3" borderId="5" xfId="0" applyNumberFormat="1" applyFill="1" applyBorder="1" applyAlignment="1">
      <alignment/>
    </xf>
    <xf numFmtId="168" fontId="0" fillId="3" borderId="16" xfId="0" applyNumberFormat="1" applyFill="1" applyBorder="1" applyAlignment="1">
      <alignment/>
    </xf>
    <xf numFmtId="170" fontId="0" fillId="2" borderId="4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8" borderId="0" xfId="0" applyNumberFormat="1" applyFill="1" applyAlignment="1">
      <alignment horizontal="right"/>
    </xf>
    <xf numFmtId="0" fontId="2" fillId="8" borderId="0" xfId="0" applyFont="1" applyFill="1" applyAlignment="1">
      <alignment horizontal="righ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0" xfId="0" applyFill="1" applyBorder="1" applyAlignment="1">
      <alignment horizontal="right" wrapText="1"/>
    </xf>
    <xf numFmtId="0" fontId="0" fillId="8" borderId="0" xfId="0" applyFill="1" applyAlignment="1">
      <alignment horizontal="left"/>
    </xf>
    <xf numFmtId="0" fontId="0" fillId="8" borderId="14" xfId="0" applyFill="1" applyBorder="1" applyAlignment="1">
      <alignment horizontal="right"/>
    </xf>
    <xf numFmtId="0" fontId="0" fillId="8" borderId="0" xfId="0" applyFill="1" applyAlignment="1">
      <alignment/>
    </xf>
    <xf numFmtId="0" fontId="0" fillId="0" borderId="14" xfId="0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" borderId="20" xfId="0" applyFill="1" applyBorder="1" applyAlignment="1">
      <alignment horizontal="left"/>
    </xf>
    <xf numFmtId="165" fontId="2" fillId="5" borderId="21" xfId="0" applyNumberFormat="1" applyFont="1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66" fontId="0" fillId="3" borderId="23" xfId="0" applyNumberFormat="1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2" fillId="5" borderId="24" xfId="0" applyFont="1" applyFill="1" applyBorder="1" applyAlignment="1">
      <alignment/>
    </xf>
    <xf numFmtId="165" fontId="2" fillId="5" borderId="24" xfId="0" applyNumberFormat="1" applyFont="1" applyFill="1" applyBorder="1" applyAlignment="1">
      <alignment horizontal="left"/>
    </xf>
    <xf numFmtId="0" fontId="2" fillId="5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4" xfId="0" applyFill="1" applyBorder="1" applyAlignment="1">
      <alignment/>
    </xf>
    <xf numFmtId="0" fontId="0" fillId="8" borderId="0" xfId="0" applyFill="1" applyAlignment="1">
      <alignment horizontal="center" vertical="center" wrapText="1"/>
    </xf>
    <xf numFmtId="165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166" fontId="0" fillId="2" borderId="27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5" fontId="0" fillId="2" borderId="4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8" borderId="0" xfId="0" applyFont="1" applyFill="1" applyAlignment="1">
      <alignment horizontal="right"/>
    </xf>
    <xf numFmtId="165" fontId="4" fillId="8" borderId="0" xfId="0" applyNumberFormat="1" applyFont="1" applyFill="1" applyAlignment="1">
      <alignment horizontal="right"/>
    </xf>
    <xf numFmtId="0" fontId="0" fillId="8" borderId="0" xfId="0" applyFill="1" applyAlignment="1">
      <alignment horizontal="center" wrapText="1"/>
    </xf>
    <xf numFmtId="0" fontId="2" fillId="8" borderId="0" xfId="0" applyFont="1" applyFill="1" applyBorder="1" applyAlignment="1">
      <alignment horizontal="right"/>
    </xf>
    <xf numFmtId="0" fontId="0" fillId="8" borderId="0" xfId="0" applyFill="1" applyAlignment="1">
      <alignment horizontal="left"/>
    </xf>
    <xf numFmtId="165" fontId="0" fillId="8" borderId="0" xfId="0" applyNumberFormat="1" applyFill="1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0" xfId="0" applyNumberFormat="1" applyFill="1" applyAlignment="1">
      <alignment horizontal="center"/>
    </xf>
    <xf numFmtId="9" fontId="0" fillId="8" borderId="0" xfId="0" applyNumberForma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2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 horizontal="center"/>
    </xf>
    <xf numFmtId="0" fontId="0" fillId="8" borderId="0" xfId="0" applyNumberFormat="1" applyFill="1" applyAlignment="1">
      <alignment horizontal="right"/>
    </xf>
    <xf numFmtId="0" fontId="0" fillId="8" borderId="0" xfId="0" applyFill="1" applyBorder="1" applyAlignment="1">
      <alignment horizontal="right" wrapText="1"/>
    </xf>
    <xf numFmtId="0" fontId="4" fillId="8" borderId="0" xfId="0" applyFont="1" applyFill="1" applyAlignment="1">
      <alignment horizontal="left"/>
    </xf>
    <xf numFmtId="10" fontId="0" fillId="8" borderId="0" xfId="0" applyNumberFormat="1" applyFill="1" applyAlignment="1">
      <alignment horizontal="right"/>
    </xf>
    <xf numFmtId="165" fontId="0" fillId="0" borderId="1" xfId="0" applyNumberFormat="1" applyFill="1" applyBorder="1" applyAlignment="1">
      <alignment horizontal="left"/>
    </xf>
    <xf numFmtId="165" fontId="0" fillId="0" borderId="2" xfId="0" applyNumberFormat="1" applyFill="1" applyBorder="1" applyAlignment="1">
      <alignment horizontal="left"/>
    </xf>
    <xf numFmtId="165" fontId="0" fillId="0" borderId="28" xfId="0" applyNumberFormat="1" applyFill="1" applyBorder="1" applyAlignment="1">
      <alignment horizontal="left"/>
    </xf>
    <xf numFmtId="0" fontId="0" fillId="2" borderId="29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0" xfId="0" applyFill="1" applyBorder="1" applyAlignment="1">
      <alignment/>
    </xf>
    <xf numFmtId="165" fontId="0" fillId="2" borderId="4" xfId="0" applyNumberFormat="1" applyFill="1" applyBorder="1" applyAlignment="1">
      <alignment horizontal="left"/>
    </xf>
    <xf numFmtId="165" fontId="0" fillId="2" borderId="31" xfId="0" applyNumberFormat="1" applyFill="1" applyBorder="1" applyAlignment="1">
      <alignment horizontal="left"/>
    </xf>
    <xf numFmtId="0" fontId="0" fillId="2" borderId="6" xfId="0" applyFill="1" applyBorder="1" applyAlignment="1">
      <alignment/>
    </xf>
    <xf numFmtId="165" fontId="0" fillId="3" borderId="3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right"/>
    </xf>
    <xf numFmtId="165" fontId="0" fillId="3" borderId="28" xfId="0" applyNumberFormat="1" applyFill="1" applyBorder="1" applyAlignment="1">
      <alignment horizontal="right"/>
    </xf>
    <xf numFmtId="0" fontId="0" fillId="6" borderId="33" xfId="0" applyFill="1" applyBorder="1" applyAlignment="1">
      <alignment horizontal="center" vertical="center" textRotation="90"/>
    </xf>
    <xf numFmtId="0" fontId="0" fillId="6" borderId="34" xfId="0" applyFill="1" applyBorder="1" applyAlignment="1">
      <alignment textRotation="90"/>
    </xf>
    <xf numFmtId="0" fontId="0" fillId="6" borderId="35" xfId="0" applyFill="1" applyBorder="1" applyAlignment="1">
      <alignment textRotation="90"/>
    </xf>
    <xf numFmtId="0" fontId="0" fillId="3" borderId="33" xfId="0" applyFill="1" applyBorder="1" applyAlignment="1">
      <alignment horizontal="center" vertical="center" textRotation="90"/>
    </xf>
    <xf numFmtId="0" fontId="0" fillId="3" borderId="34" xfId="0" applyFill="1" applyBorder="1" applyAlignment="1">
      <alignment textRotation="90"/>
    </xf>
    <xf numFmtId="0" fontId="0" fillId="3" borderId="35" xfId="0" applyFill="1" applyBorder="1" applyAlignment="1">
      <alignment textRotation="90"/>
    </xf>
    <xf numFmtId="165" fontId="0" fillId="5" borderId="36" xfId="0" applyNumberFormat="1" applyFill="1" applyBorder="1" applyAlignment="1">
      <alignment horizontal="right"/>
    </xf>
    <xf numFmtId="165" fontId="0" fillId="5" borderId="37" xfId="0" applyNumberFormat="1" applyFill="1" applyBorder="1" applyAlignment="1">
      <alignment horizontal="right"/>
    </xf>
    <xf numFmtId="165" fontId="0" fillId="5" borderId="38" xfId="0" applyNumberFormat="1" applyFill="1" applyBorder="1" applyAlignment="1">
      <alignment horizontal="right"/>
    </xf>
    <xf numFmtId="165" fontId="0" fillId="5" borderId="39" xfId="0" applyNumberFormat="1" applyFill="1" applyBorder="1" applyAlignment="1">
      <alignment horizontal="right"/>
    </xf>
    <xf numFmtId="165" fontId="0" fillId="7" borderId="40" xfId="0" applyNumberFormat="1" applyFill="1" applyBorder="1" applyAlignment="1">
      <alignment horizontal="right"/>
    </xf>
    <xf numFmtId="165" fontId="0" fillId="7" borderId="41" xfId="0" applyNumberFormat="1" applyFill="1" applyBorder="1" applyAlignment="1">
      <alignment horizontal="right"/>
    </xf>
    <xf numFmtId="165" fontId="0" fillId="7" borderId="42" xfId="0" applyNumberFormat="1" applyFill="1" applyBorder="1" applyAlignment="1">
      <alignment horizontal="right"/>
    </xf>
    <xf numFmtId="165" fontId="0" fillId="7" borderId="43" xfId="0" applyNumberFormat="1" applyFill="1" applyBorder="1" applyAlignment="1">
      <alignment horizontal="right"/>
    </xf>
    <xf numFmtId="165" fontId="0" fillId="7" borderId="30" xfId="0" applyNumberFormat="1" applyFill="1" applyBorder="1" applyAlignment="1">
      <alignment horizontal="right"/>
    </xf>
    <xf numFmtId="165" fontId="0" fillId="7" borderId="44" xfId="0" applyNumberFormat="1" applyFill="1" applyBorder="1" applyAlignment="1">
      <alignment horizontal="right"/>
    </xf>
    <xf numFmtId="165" fontId="0" fillId="2" borderId="29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165" fontId="0" fillId="2" borderId="31" xfId="0" applyNumberFormat="1" applyFill="1" applyBorder="1" applyAlignment="1">
      <alignment horizontal="right"/>
    </xf>
    <xf numFmtId="165" fontId="0" fillId="7" borderId="45" xfId="0" applyNumberForma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0" fontId="0" fillId="2" borderId="31" xfId="0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31" xfId="0" applyNumberFormat="1" applyFill="1" applyBorder="1" applyAlignment="1">
      <alignment horizontal="right"/>
    </xf>
    <xf numFmtId="165" fontId="0" fillId="0" borderId="29" xfId="0" applyNumberFormat="1" applyFill="1" applyBorder="1" applyAlignment="1">
      <alignment horizontal="right"/>
    </xf>
    <xf numFmtId="165" fontId="0" fillId="4" borderId="3" xfId="0" applyNumberFormat="1" applyFill="1" applyBorder="1" applyAlignment="1">
      <alignment horizontal="right"/>
    </xf>
    <xf numFmtId="165" fontId="0" fillId="4" borderId="4" xfId="0" applyNumberFormat="1" applyFill="1" applyBorder="1" applyAlignment="1">
      <alignment horizontal="right"/>
    </xf>
    <xf numFmtId="165" fontId="0" fillId="4" borderId="31" xfId="0" applyNumberFormat="1" applyFill="1" applyBorder="1" applyAlignment="1">
      <alignment horizontal="right"/>
    </xf>
    <xf numFmtId="165" fontId="0" fillId="4" borderId="29" xfId="0" applyNumberFormat="1" applyFill="1" applyBorder="1" applyAlignment="1">
      <alignment horizontal="right"/>
    </xf>
    <xf numFmtId="165" fontId="0" fillId="7" borderId="26" xfId="0" applyNumberFormat="1" applyFill="1" applyBorder="1" applyAlignment="1">
      <alignment horizontal="right"/>
    </xf>
    <xf numFmtId="165" fontId="0" fillId="7" borderId="10" xfId="0" applyNumberFormat="1" applyFill="1" applyBorder="1" applyAlignment="1">
      <alignment horizontal="right"/>
    </xf>
    <xf numFmtId="165" fontId="0" fillId="7" borderId="46" xfId="0" applyNumberFormat="1" applyFill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165" fontId="0" fillId="4" borderId="50" xfId="0" applyNumberFormat="1" applyFill="1" applyBorder="1" applyAlignment="1">
      <alignment horizontal="right"/>
    </xf>
    <xf numFmtId="165" fontId="0" fillId="4" borderId="30" xfId="0" applyNumberFormat="1" applyFill="1" applyBorder="1" applyAlignment="1">
      <alignment horizontal="right"/>
    </xf>
    <xf numFmtId="165" fontId="0" fillId="4" borderId="44" xfId="0" applyNumberFormat="1" applyFill="1" applyBorder="1" applyAlignment="1">
      <alignment horizontal="right"/>
    </xf>
    <xf numFmtId="165" fontId="0" fillId="4" borderId="4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left"/>
    </xf>
    <xf numFmtId="165" fontId="0" fillId="0" borderId="31" xfId="0" applyNumberFormat="1" applyFill="1" applyBorder="1" applyAlignment="1">
      <alignment horizontal="left"/>
    </xf>
    <xf numFmtId="165" fontId="0" fillId="4" borderId="9" xfId="0" applyNumberFormat="1" applyFill="1" applyBorder="1" applyAlignment="1">
      <alignment horizontal="right"/>
    </xf>
    <xf numFmtId="165" fontId="0" fillId="4" borderId="10" xfId="0" applyNumberFormat="1" applyFill="1" applyBorder="1" applyAlignment="1">
      <alignment horizontal="right"/>
    </xf>
    <xf numFmtId="165" fontId="0" fillId="4" borderId="46" xfId="0" applyNumberFormat="1" applyFill="1" applyBorder="1" applyAlignment="1">
      <alignment horizontal="right"/>
    </xf>
    <xf numFmtId="165" fontId="0" fillId="4" borderId="26" xfId="0" applyNumberFormat="1" applyFill="1" applyBorder="1" applyAlignment="1">
      <alignment horizontal="right"/>
    </xf>
    <xf numFmtId="0" fontId="0" fillId="9" borderId="33" xfId="0" applyFill="1" applyBorder="1" applyAlignment="1">
      <alignment horizontal="center" vertical="center" textRotation="90"/>
    </xf>
    <xf numFmtId="0" fontId="0" fillId="0" borderId="34" xfId="0" applyBorder="1" applyAlignment="1">
      <alignment textRotation="90"/>
    </xf>
    <xf numFmtId="0" fontId="0" fillId="7" borderId="33" xfId="0" applyFill="1" applyBorder="1" applyAlignment="1">
      <alignment horizontal="center" vertical="center" textRotation="90"/>
    </xf>
    <xf numFmtId="0" fontId="0" fillId="0" borderId="35" xfId="0" applyBorder="1" applyAlignment="1">
      <alignment textRotation="90"/>
    </xf>
    <xf numFmtId="0" fontId="0" fillId="2" borderId="15" xfId="0" applyFill="1" applyBorder="1" applyAlignment="1">
      <alignment horizontal="center"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53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1" xfId="0" applyFill="1" applyBorder="1" applyAlignment="1">
      <alignment/>
    </xf>
    <xf numFmtId="165" fontId="0" fillId="3" borderId="29" xfId="0" applyNumberFormat="1" applyFill="1" applyBorder="1" applyAlignment="1">
      <alignment horizontal="right"/>
    </xf>
    <xf numFmtId="165" fontId="0" fillId="3" borderId="4" xfId="0" applyNumberFormat="1" applyFill="1" applyBorder="1" applyAlignment="1">
      <alignment horizontal="right"/>
    </xf>
    <xf numFmtId="165" fontId="0" fillId="3" borderId="31" xfId="0" applyNumberFormat="1" applyFill="1" applyBorder="1" applyAlignment="1">
      <alignment horizontal="right"/>
    </xf>
    <xf numFmtId="0" fontId="0" fillId="2" borderId="46" xfId="0" applyFill="1" applyBorder="1" applyAlignment="1">
      <alignment/>
    </xf>
    <xf numFmtId="0" fontId="0" fillId="2" borderId="4" xfId="0" applyFill="1" applyBorder="1" applyAlignment="1">
      <alignment horizontal="center"/>
    </xf>
    <xf numFmtId="167" fontId="0" fillId="4" borderId="4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textRotation="90"/>
    </xf>
    <xf numFmtId="0" fontId="0" fillId="9" borderId="35" xfId="0" applyFill="1" applyBorder="1" applyAlignment="1">
      <alignment horizontal="center" vertical="center" textRotation="9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3" borderId="55" xfId="0" applyFill="1" applyBorder="1" applyAlignment="1">
      <alignment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Alignment="1">
      <alignment/>
    </xf>
    <xf numFmtId="0" fontId="0" fillId="2" borderId="18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3" borderId="58" xfId="0" applyFill="1" applyBorder="1" applyAlignment="1">
      <alignment/>
    </xf>
    <xf numFmtId="0" fontId="0" fillId="3" borderId="59" xfId="0" applyFill="1" applyBorder="1" applyAlignment="1">
      <alignment/>
    </xf>
    <xf numFmtId="0" fontId="2" fillId="5" borderId="56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60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4" xfId="0" applyFill="1" applyBorder="1" applyAlignment="1">
      <alignment/>
    </xf>
    <xf numFmtId="165" fontId="0" fillId="4" borderId="3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5" fontId="0" fillId="4" borderId="28" xfId="0" applyNumberFormat="1" applyFill="1" applyBorder="1" applyAlignment="1">
      <alignment horizontal="right"/>
    </xf>
    <xf numFmtId="165" fontId="0" fillId="4" borderId="60" xfId="0" applyNumberFormat="1" applyFill="1" applyBorder="1" applyAlignment="1">
      <alignment horizontal="right"/>
    </xf>
    <xf numFmtId="165" fontId="0" fillId="4" borderId="48" xfId="0" applyNumberFormat="1" applyFill="1" applyBorder="1" applyAlignment="1">
      <alignment horizontal="right"/>
    </xf>
    <xf numFmtId="165" fontId="0" fillId="4" borderId="49" xfId="0" applyNumberFormat="1" applyFill="1" applyBorder="1" applyAlignment="1">
      <alignment horizontal="right"/>
    </xf>
    <xf numFmtId="164" fontId="0" fillId="3" borderId="52" xfId="0" applyNumberFormat="1" applyFill="1" applyBorder="1" applyAlignment="1">
      <alignment horizontal="right"/>
    </xf>
    <xf numFmtId="165" fontId="0" fillId="2" borderId="32" xfId="0" applyNumberFormat="1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5" fontId="0" fillId="2" borderId="28" xfId="0" applyNumberFormat="1" applyFill="1" applyBorder="1" applyAlignment="1">
      <alignment horizontal="right"/>
    </xf>
    <xf numFmtId="0" fontId="0" fillId="4" borderId="32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28" xfId="0" applyNumberFormat="1" applyFill="1" applyBorder="1" applyAlignment="1">
      <alignment horizontal="center"/>
    </xf>
    <xf numFmtId="0" fontId="0" fillId="4" borderId="32" xfId="0" applyNumberFormat="1" applyFill="1" applyBorder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0" fillId="4" borderId="28" xfId="0" applyNumberFormat="1" applyFill="1" applyBorder="1" applyAlignment="1">
      <alignment horizontal="right"/>
    </xf>
    <xf numFmtId="165" fontId="0" fillId="5" borderId="51" xfId="0" applyNumberFormat="1" applyFill="1" applyBorder="1" applyAlignment="1">
      <alignment horizontal="right"/>
    </xf>
    <xf numFmtId="165" fontId="0" fillId="5" borderId="52" xfId="0" applyNumberFormat="1" applyFill="1" applyBorder="1" applyAlignment="1">
      <alignment horizontal="right"/>
    </xf>
    <xf numFmtId="165" fontId="0" fillId="5" borderId="53" xfId="0" applyNumberFormat="1" applyFill="1" applyBorder="1" applyAlignment="1">
      <alignment horizontal="right"/>
    </xf>
    <xf numFmtId="0" fontId="0" fillId="10" borderId="55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7" borderId="32" xfId="0" applyNumberFormat="1" applyFill="1" applyBorder="1" applyAlignment="1">
      <alignment horizontal="right"/>
    </xf>
    <xf numFmtId="0" fontId="0" fillId="7" borderId="2" xfId="0" applyNumberFormat="1" applyFill="1" applyBorder="1" applyAlignment="1">
      <alignment horizontal="right"/>
    </xf>
    <xf numFmtId="0" fontId="0" fillId="7" borderId="28" xfId="0" applyNumberFormat="1" applyFill="1" applyBorder="1" applyAlignment="1">
      <alignment horizontal="right"/>
    </xf>
    <xf numFmtId="164" fontId="0" fillId="3" borderId="55" xfId="0" applyNumberFormat="1" applyFill="1" applyBorder="1" applyAlignment="1">
      <alignment horizontal="right"/>
    </xf>
    <xf numFmtId="0" fontId="0" fillId="4" borderId="52" xfId="0" applyFill="1" applyBorder="1" applyAlignment="1">
      <alignment horizontal="center"/>
    </xf>
    <xf numFmtId="0" fontId="0" fillId="0" borderId="34" xfId="0" applyBorder="1" applyAlignment="1">
      <alignment horizontal="center" vertical="center" textRotation="90"/>
    </xf>
    <xf numFmtId="166" fontId="0" fillId="3" borderId="59" xfId="0" applyNumberFormat="1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61" xfId="0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0" fontId="3" fillId="4" borderId="48" xfId="0" applyFont="1" applyFill="1" applyBorder="1" applyAlignment="1">
      <alignment horizontal="left"/>
    </xf>
    <xf numFmtId="0" fontId="3" fillId="4" borderId="49" xfId="0" applyFon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0" fillId="4" borderId="2" xfId="0" applyNumberFormat="1" applyFill="1" applyBorder="1" applyAlignment="1">
      <alignment horizontal="left"/>
    </xf>
    <xf numFmtId="165" fontId="0" fillId="4" borderId="28" xfId="0" applyNumberFormat="1" applyFill="1" applyBorder="1" applyAlignment="1">
      <alignment horizontal="left"/>
    </xf>
    <xf numFmtId="165" fontId="0" fillId="0" borderId="3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28" xfId="0" applyNumberFormat="1" applyFill="1" applyBorder="1" applyAlignment="1">
      <alignment horizontal="right"/>
    </xf>
    <xf numFmtId="165" fontId="0" fillId="4" borderId="4" xfId="0" applyNumberFormat="1" applyFill="1" applyBorder="1" applyAlignment="1">
      <alignment horizontal="left"/>
    </xf>
    <xf numFmtId="165" fontId="0" fillId="4" borderId="31" xfId="0" applyNumberFormat="1" applyFill="1" applyBorder="1" applyAlignment="1">
      <alignment horizontal="left"/>
    </xf>
    <xf numFmtId="169" fontId="0" fillId="2" borderId="1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5" fontId="0" fillId="10" borderId="55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11" borderId="0" xfId="0" applyFill="1" applyAlignment="1">
      <alignment horizontal="right"/>
    </xf>
    <xf numFmtId="165" fontId="0" fillId="12" borderId="0" xfId="0" applyNumberFormat="1" applyFill="1" applyAlignment="1">
      <alignment horizontal="right"/>
    </xf>
    <xf numFmtId="165" fontId="0" fillId="1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3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65" fontId="0" fillId="14" borderId="0" xfId="0" applyNumberFormat="1" applyFill="1" applyAlignment="1">
      <alignment horizontal="right"/>
    </xf>
    <xf numFmtId="165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0" fontId="0" fillId="5" borderId="0" xfId="0" applyFill="1" applyAlignment="1">
      <alignment horizontal="left"/>
    </xf>
    <xf numFmtId="165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11" borderId="0" xfId="0" applyFill="1" applyAlignment="1">
      <alignment horizontal="left"/>
    </xf>
    <xf numFmtId="0" fontId="0" fillId="0" borderId="0" xfId="0" applyAlignment="1">
      <alignment horizontal="center"/>
    </xf>
    <xf numFmtId="165" fontId="0" fillId="11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2" fillId="6" borderId="0" xfId="0" applyFont="1" applyFill="1" applyBorder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8" borderId="19" xfId="0" applyNumberFormat="1" applyFont="1" applyFill="1" applyBorder="1" applyAlignment="1">
      <alignment horizontal="right"/>
    </xf>
    <xf numFmtId="165" fontId="2" fillId="8" borderId="16" xfId="0" applyNumberFormat="1" applyFont="1" applyFill="1" applyBorder="1" applyAlignment="1">
      <alignment horizontal="right"/>
    </xf>
    <xf numFmtId="165" fontId="2" fillId="8" borderId="17" xfId="0" applyNumberFormat="1" applyFont="1" applyFill="1" applyBorder="1" applyAlignment="1">
      <alignment horizontal="right"/>
    </xf>
    <xf numFmtId="165" fontId="0" fillId="5" borderId="0" xfId="0" applyNumberFormat="1" applyFill="1" applyAlignment="1">
      <alignment horizontal="right"/>
    </xf>
    <xf numFmtId="0" fontId="0" fillId="7" borderId="0" xfId="0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9" fillId="3" borderId="0" xfId="0" applyFont="1" applyFill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6" xfId="0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7" fillId="0" borderId="33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0" fillId="0" borderId="62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3" xfId="0" applyFont="1" applyBorder="1" applyAlignment="1">
      <alignment horizontal="center" textRotation="90"/>
    </xf>
    <xf numFmtId="0" fontId="8" fillId="0" borderId="34" xfId="0" applyFont="1" applyBorder="1" applyAlignment="1">
      <alignment horizontal="center" textRotation="90"/>
    </xf>
    <xf numFmtId="0" fontId="0" fillId="0" borderId="55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4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31" xfId="0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6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9" xfId="0" applyBorder="1" applyAlignment="1">
      <alignment/>
    </xf>
    <xf numFmtId="0" fontId="0" fillId="3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68" xfId="0" applyFill="1" applyBorder="1" applyAlignment="1">
      <alignment/>
    </xf>
    <xf numFmtId="0" fontId="4" fillId="0" borderId="28" xfId="0" applyFon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69" xfId="0" applyFill="1" applyBorder="1" applyAlignment="1">
      <alignment/>
    </xf>
    <xf numFmtId="0" fontId="0" fillId="0" borderId="70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69" xfId="0" applyBorder="1" applyAlignment="1">
      <alignment/>
    </xf>
    <xf numFmtId="0" fontId="0" fillId="0" borderId="43" xfId="0" applyBorder="1" applyAlignment="1">
      <alignment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67" xfId="0" applyFill="1" applyBorder="1" applyAlignment="1">
      <alignment/>
    </xf>
    <xf numFmtId="0" fontId="0" fillId="3" borderId="53" xfId="0" applyFill="1" applyBorder="1" applyAlignment="1">
      <alignment/>
    </xf>
    <xf numFmtId="0" fontId="0" fillId="0" borderId="51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0" fontId="0" fillId="3" borderId="32" xfId="0" applyFill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3" borderId="60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9" xfId="0" applyFill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9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7" xfId="0" applyFont="1" applyBorder="1" applyAlignment="1">
      <alignment/>
    </xf>
    <xf numFmtId="0" fontId="0" fillId="0" borderId="3" xfId="0" applyFill="1" applyBorder="1" applyAlignment="1">
      <alignment/>
    </xf>
    <xf numFmtId="0" fontId="0" fillId="15" borderId="18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5" borderId="6" xfId="0" applyFont="1" applyFill="1" applyBorder="1" applyAlignment="1">
      <alignment/>
    </xf>
    <xf numFmtId="0" fontId="0" fillId="11" borderId="6" xfId="0" applyFill="1" applyBorder="1" applyAlignment="1">
      <alignment wrapText="1"/>
    </xf>
    <xf numFmtId="0" fontId="0" fillId="11" borderId="14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11" borderId="32" xfId="0" applyFill="1" applyBorder="1" applyAlignment="1">
      <alignment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3" borderId="54" xfId="0" applyFill="1" applyBorder="1" applyAlignment="1">
      <alignment/>
    </xf>
    <xf numFmtId="0" fontId="0" fillId="3" borderId="63" xfId="0" applyFill="1" applyBorder="1" applyAlignment="1">
      <alignment/>
    </xf>
    <xf numFmtId="0" fontId="0" fillId="0" borderId="71" xfId="0" applyBorder="1" applyAlignment="1">
      <alignment/>
    </xf>
    <xf numFmtId="0" fontId="0" fillId="0" borderId="56" xfId="0" applyBorder="1" applyAlignment="1">
      <alignment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63" xfId="0" applyBorder="1" applyAlignment="1">
      <alignment/>
    </xf>
    <xf numFmtId="0" fontId="0" fillId="0" borderId="3" xfId="0" applyBorder="1" applyAlignment="1">
      <alignment/>
    </xf>
    <xf numFmtId="0" fontId="0" fillId="11" borderId="29" xfId="0" applyFill="1" applyBorder="1" applyAlignment="1">
      <alignment/>
    </xf>
    <xf numFmtId="0" fontId="0" fillId="11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3" borderId="29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11" borderId="26" xfId="0" applyFill="1" applyBorder="1" applyAlignment="1">
      <alignment/>
    </xf>
    <xf numFmtId="0" fontId="0" fillId="11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46" xfId="0" applyFill="1" applyBorder="1" applyAlignment="1">
      <alignment/>
    </xf>
    <xf numFmtId="0" fontId="0" fillId="0" borderId="9" xfId="0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10" borderId="43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4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4" xfId="0" applyFill="1" applyBorder="1" applyAlignment="1">
      <alignment/>
    </xf>
    <xf numFmtId="0" fontId="5" fillId="0" borderId="29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62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" borderId="24" xfId="0" applyFill="1" applyBorder="1" applyAlignment="1">
      <alignment/>
    </xf>
    <xf numFmtId="0" fontId="0" fillId="13" borderId="40" xfId="0" applyFill="1" applyBorder="1" applyAlignment="1">
      <alignment/>
    </xf>
    <xf numFmtId="0" fontId="0" fillId="13" borderId="4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3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4" fillId="0" borderId="37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67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3" borderId="9" xfId="0" applyFill="1" applyBorder="1" applyAlignment="1">
      <alignment/>
    </xf>
    <xf numFmtId="0" fontId="4" fillId="0" borderId="47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5" fillId="0" borderId="47" xfId="0" applyFont="1" applyBorder="1" applyAlignment="1">
      <alignment/>
    </xf>
    <xf numFmtId="0" fontId="5" fillId="0" borderId="9" xfId="0" applyFont="1" applyBorder="1" applyAlignment="1">
      <alignment/>
    </xf>
    <xf numFmtId="0" fontId="0" fillId="3" borderId="3" xfId="0" applyFill="1" applyBorder="1" applyAlignment="1">
      <alignment/>
    </xf>
    <xf numFmtId="0" fontId="4" fillId="0" borderId="2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8" xfId="0" applyBorder="1" applyAlignment="1">
      <alignment/>
    </xf>
    <xf numFmtId="0" fontId="4" fillId="0" borderId="1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0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7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168" fontId="0" fillId="4" borderId="19" xfId="0" applyNumberFormat="1" applyFill="1" applyBorder="1" applyAlignment="1">
      <alignment horizontal="center"/>
    </xf>
    <xf numFmtId="168" fontId="0" fillId="4" borderId="17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4"/>
  <sheetViews>
    <sheetView workbookViewId="0" topLeftCell="A1">
      <selection activeCell="A125" sqref="A125"/>
    </sheetView>
  </sheetViews>
  <sheetFormatPr defaultColWidth="9.00390625" defaultRowHeight="12.75"/>
  <cols>
    <col min="1" max="3" width="3.75390625" style="70" customWidth="1"/>
    <col min="4" max="4" width="4.25390625" style="70" customWidth="1"/>
    <col min="5" max="5" width="5.00390625" style="70" customWidth="1"/>
    <col min="6" max="6" width="4.75390625" style="70" customWidth="1"/>
    <col min="7" max="20" width="3.75390625" style="70" customWidth="1"/>
    <col min="21" max="21" width="4.00390625" style="70" customWidth="1"/>
    <col min="22" max="23" width="3.75390625" style="70" customWidth="1"/>
    <col min="24" max="24" width="4.25390625" style="70" customWidth="1"/>
    <col min="25" max="25" width="4.00390625" style="70" customWidth="1"/>
    <col min="26" max="29" width="3.75390625" style="70" customWidth="1"/>
    <col min="30" max="30" width="4.25390625" style="70" customWidth="1"/>
    <col min="31" max="32" width="3.75390625" style="70" customWidth="1"/>
    <col min="33" max="33" width="4.00390625" style="70" customWidth="1"/>
    <col min="34" max="35" width="3.75390625" style="70" customWidth="1"/>
    <col min="36" max="36" width="4.00390625" style="70" customWidth="1"/>
    <col min="37" max="38" width="3.75390625" style="70" customWidth="1"/>
    <col min="39" max="39" width="4.00390625" style="70" customWidth="1"/>
    <col min="40" max="16384" width="3.75390625" style="70" customWidth="1"/>
  </cols>
  <sheetData>
    <row r="1" spans="1:44" ht="12.75">
      <c r="A1" s="115">
        <v>3.455263157894737</v>
      </c>
      <c r="B1" s="116"/>
      <c r="C1" s="116"/>
      <c r="D1" s="116"/>
      <c r="E1" s="116"/>
      <c r="F1" s="68">
        <v>0</v>
      </c>
      <c r="G1" s="117" t="s">
        <v>11</v>
      </c>
      <c r="H1" s="117"/>
      <c r="I1" s="117"/>
      <c r="J1" s="117" t="s">
        <v>12</v>
      </c>
      <c r="K1" s="117"/>
      <c r="L1" s="117"/>
      <c r="M1" s="117" t="s">
        <v>13</v>
      </c>
      <c r="N1" s="117"/>
      <c r="O1" s="117"/>
      <c r="P1" s="117" t="s">
        <v>14</v>
      </c>
      <c r="Q1" s="117"/>
      <c r="R1" s="117"/>
      <c r="S1" s="117" t="s">
        <v>15</v>
      </c>
      <c r="T1" s="117"/>
      <c r="U1" s="117"/>
      <c r="V1" s="117" t="s">
        <v>16</v>
      </c>
      <c r="W1" s="117"/>
      <c r="X1" s="117"/>
      <c r="Y1" s="117" t="s">
        <v>17</v>
      </c>
      <c r="Z1" s="117"/>
      <c r="AA1" s="117"/>
      <c r="AB1" s="117" t="s">
        <v>18</v>
      </c>
      <c r="AC1" s="117"/>
      <c r="AD1" s="117"/>
      <c r="AE1" s="117" t="s">
        <v>19</v>
      </c>
      <c r="AF1" s="117"/>
      <c r="AG1" s="117"/>
      <c r="AH1" s="117" t="s">
        <v>20</v>
      </c>
      <c r="AI1" s="117"/>
      <c r="AJ1" s="117"/>
      <c r="AK1" s="117" t="s">
        <v>21</v>
      </c>
      <c r="AL1" s="117"/>
      <c r="AM1" s="117"/>
      <c r="AN1" s="69"/>
      <c r="AO1" s="117" t="s">
        <v>22</v>
      </c>
      <c r="AP1" s="117"/>
      <c r="AQ1" s="117"/>
      <c r="AR1" s="117"/>
    </row>
    <row r="2" spans="1:13" ht="12.75">
      <c r="A2" s="110" t="s">
        <v>6</v>
      </c>
      <c r="B2" s="110"/>
      <c r="C2" s="110"/>
      <c r="D2" s="110"/>
      <c r="E2" s="110"/>
      <c r="F2" s="110"/>
      <c r="M2" s="68" t="s">
        <v>289</v>
      </c>
    </row>
    <row r="3" spans="1:44" ht="12.75">
      <c r="A3" s="110" t="s">
        <v>250</v>
      </c>
      <c r="B3" s="110"/>
      <c r="C3" s="110"/>
      <c r="D3" s="110"/>
      <c r="E3" s="110"/>
      <c r="F3" s="110"/>
      <c r="G3" s="109">
        <f>'ЦФУ Посуда'!$W7</f>
        <v>1820</v>
      </c>
      <c r="H3" s="109"/>
      <c r="I3" s="109"/>
      <c r="J3" s="109">
        <f>'ЦФУ Посуда'!$W20</f>
        <v>2520</v>
      </c>
      <c r="K3" s="109"/>
      <c r="L3" s="109"/>
      <c r="M3" s="109">
        <f>'ЦФУ Посуда'!$W33</f>
        <v>3320</v>
      </c>
      <c r="N3" s="109"/>
      <c r="O3" s="109"/>
      <c r="P3" s="109">
        <f>'ЦФУ Посуда'!$W46</f>
        <v>4020</v>
      </c>
      <c r="Q3" s="109"/>
      <c r="R3" s="109"/>
      <c r="S3" s="109">
        <f>'ЦФУ Посуда'!$W59</f>
        <v>4720</v>
      </c>
      <c r="T3" s="109"/>
      <c r="U3" s="109"/>
      <c r="V3" s="109">
        <f>'ЦФУ Посуда'!$W72</f>
        <v>5120</v>
      </c>
      <c r="W3" s="109"/>
      <c r="X3" s="109"/>
      <c r="Y3" s="109">
        <f>'ЦФУ Посуда'!$W85</f>
        <v>5320</v>
      </c>
      <c r="Z3" s="109"/>
      <c r="AA3" s="109"/>
      <c r="AB3" s="109">
        <f>'ЦФУ Посуда'!$W98</f>
        <v>5320</v>
      </c>
      <c r="AC3" s="109"/>
      <c r="AD3" s="109"/>
      <c r="AE3" s="109">
        <f>'ЦФУ Посуда'!$W111</f>
        <v>5320</v>
      </c>
      <c r="AF3" s="109"/>
      <c r="AG3" s="109"/>
      <c r="AH3" s="109">
        <f>'ЦФУ Посуда'!$W124</f>
        <v>5320</v>
      </c>
      <c r="AI3" s="109"/>
      <c r="AJ3" s="109"/>
      <c r="AK3" s="109">
        <f>'ЦФУ Посуда'!$W137</f>
        <v>5320</v>
      </c>
      <c r="AL3" s="109"/>
      <c r="AM3" s="109"/>
      <c r="AN3" s="67"/>
      <c r="AO3" s="109">
        <f>SUM(G3:AM3)</f>
        <v>48120</v>
      </c>
      <c r="AP3" s="109"/>
      <c r="AQ3" s="109"/>
      <c r="AR3" s="109"/>
    </row>
    <row r="4" spans="1:44" ht="12.75">
      <c r="A4" s="110" t="s">
        <v>75</v>
      </c>
      <c r="B4" s="110"/>
      <c r="C4" s="110"/>
      <c r="D4" s="110"/>
      <c r="E4" s="110"/>
      <c r="F4" s="110"/>
      <c r="G4" s="109">
        <f>'ЦФУ Посуда'!$W8</f>
        <v>1820</v>
      </c>
      <c r="H4" s="109"/>
      <c r="I4" s="109"/>
      <c r="J4" s="109">
        <f>'ЦФУ Посуда'!$W21</f>
        <v>2520</v>
      </c>
      <c r="K4" s="109"/>
      <c r="L4" s="109"/>
      <c r="M4" s="109">
        <f>'ЦФУ Посуда'!$W34</f>
        <v>3320</v>
      </c>
      <c r="N4" s="109"/>
      <c r="O4" s="109"/>
      <c r="P4" s="109">
        <f>'ЦФУ Посуда'!$W47</f>
        <v>4020</v>
      </c>
      <c r="Q4" s="109"/>
      <c r="R4" s="109"/>
      <c r="S4" s="109">
        <f>'ЦФУ Посуда'!$W60</f>
        <v>4720</v>
      </c>
      <c r="T4" s="109"/>
      <c r="U4" s="109"/>
      <c r="V4" s="109">
        <f>'ЦФУ Посуда'!$W73</f>
        <v>5120</v>
      </c>
      <c r="W4" s="109"/>
      <c r="X4" s="109"/>
      <c r="Y4" s="109">
        <f>'ЦФУ Посуда'!$W86</f>
        <v>5320</v>
      </c>
      <c r="Z4" s="109"/>
      <c r="AA4" s="109"/>
      <c r="AB4" s="109">
        <f>'ЦФУ Посуда'!$W99</f>
        <v>5320</v>
      </c>
      <c r="AC4" s="109"/>
      <c r="AD4" s="109"/>
      <c r="AE4" s="109">
        <f>'ЦФУ Посуда'!$W112</f>
        <v>5320</v>
      </c>
      <c r="AF4" s="109"/>
      <c r="AG4" s="109"/>
      <c r="AH4" s="109">
        <f>'ЦФУ Посуда'!$W125</f>
        <v>5320</v>
      </c>
      <c r="AI4" s="109"/>
      <c r="AJ4" s="109"/>
      <c r="AK4" s="109">
        <f>'ЦФУ Посуда'!$W138</f>
        <v>7700</v>
      </c>
      <c r="AL4" s="109"/>
      <c r="AM4" s="109"/>
      <c r="AN4" s="67"/>
      <c r="AO4" s="109">
        <f aca="true" t="shared" si="0" ref="AO4:AO10">SUM(G4:AM4)</f>
        <v>50500</v>
      </c>
      <c r="AP4" s="109"/>
      <c r="AQ4" s="109"/>
      <c r="AR4" s="109"/>
    </row>
    <row r="5" spans="1:44" ht="12.75">
      <c r="A5" s="110" t="s">
        <v>25</v>
      </c>
      <c r="B5" s="110"/>
      <c r="C5" s="110"/>
      <c r="D5" s="110"/>
      <c r="E5" s="110"/>
      <c r="F5" s="110"/>
      <c r="G5" s="109">
        <f>'ЦФУ Посуда'!$W19</f>
        <v>59.3</v>
      </c>
      <c r="H5" s="109"/>
      <c r="I5" s="109"/>
      <c r="J5" s="109">
        <f>'ЦФУ Посуда'!$W32</f>
        <v>69.8</v>
      </c>
      <c r="K5" s="109"/>
      <c r="L5" s="109"/>
      <c r="M5" s="109">
        <f>'ЦФУ Посуда'!$W45</f>
        <v>81.8</v>
      </c>
      <c r="N5" s="109"/>
      <c r="O5" s="109"/>
      <c r="P5" s="109">
        <f>'ЦФУ Посуда'!$W58</f>
        <v>92.3</v>
      </c>
      <c r="Q5" s="109"/>
      <c r="R5" s="109"/>
      <c r="S5" s="109">
        <f>'ЦФУ Посуда'!$W71</f>
        <v>102.8</v>
      </c>
      <c r="T5" s="109"/>
      <c r="U5" s="109"/>
      <c r="V5" s="109">
        <f>'ЦФУ Посуда'!$W84</f>
        <v>108.8</v>
      </c>
      <c r="W5" s="109"/>
      <c r="X5" s="109"/>
      <c r="Y5" s="109">
        <f>'ЦФУ Посуда'!$W97</f>
        <v>111.79999999999998</v>
      </c>
      <c r="Z5" s="109"/>
      <c r="AA5" s="109"/>
      <c r="AB5" s="109">
        <f>'ЦФУ Посуда'!$W110</f>
        <v>111.79999999999998</v>
      </c>
      <c r="AC5" s="109"/>
      <c r="AD5" s="109"/>
      <c r="AE5" s="109">
        <f>'ЦФУ Посуда'!$W123</f>
        <v>111.79999999999998</v>
      </c>
      <c r="AF5" s="109"/>
      <c r="AG5" s="109"/>
      <c r="AH5" s="109">
        <f>'ЦФУ Посуда'!$W136</f>
        <v>111.79999999999998</v>
      </c>
      <c r="AI5" s="109"/>
      <c r="AJ5" s="109"/>
      <c r="AK5" s="109">
        <f>'ЦФУ Посуда'!$W149</f>
        <v>165.03684210526313</v>
      </c>
      <c r="AL5" s="109"/>
      <c r="AM5" s="109"/>
      <c r="AN5" s="67"/>
      <c r="AO5" s="109">
        <f t="shared" si="0"/>
        <v>1127.0368421052628</v>
      </c>
      <c r="AP5" s="109"/>
      <c r="AQ5" s="109"/>
      <c r="AR5" s="109"/>
    </row>
    <row r="6" spans="1:44" ht="12.75">
      <c r="A6" s="111" t="s">
        <v>77</v>
      </c>
      <c r="B6" s="111"/>
      <c r="C6" s="111"/>
      <c r="D6" s="111"/>
      <c r="E6" s="111"/>
      <c r="F6" s="111"/>
      <c r="G6" s="109">
        <f>'ЦФУ Посуда'!$W13</f>
        <v>80</v>
      </c>
      <c r="H6" s="109"/>
      <c r="I6" s="109"/>
      <c r="J6" s="109">
        <f>'ЦФУ Посуда'!$W26</f>
        <v>80</v>
      </c>
      <c r="K6" s="109"/>
      <c r="L6" s="109"/>
      <c r="M6" s="109">
        <f>'ЦФУ Посуда'!$W39</f>
        <v>80</v>
      </c>
      <c r="N6" s="109"/>
      <c r="O6" s="109"/>
      <c r="P6" s="109">
        <f>'ЦФУ Посуда'!$W52</f>
        <v>80</v>
      </c>
      <c r="Q6" s="109"/>
      <c r="R6" s="109"/>
      <c r="S6" s="109">
        <f>'ЦФУ Посуда'!$W65</f>
        <v>80</v>
      </c>
      <c r="T6" s="109"/>
      <c r="U6" s="109"/>
      <c r="V6" s="109">
        <f>'ЦФУ Посуда'!$W78</f>
        <v>80</v>
      </c>
      <c r="W6" s="109"/>
      <c r="X6" s="109"/>
      <c r="Y6" s="109">
        <f>'ЦФУ Посуда'!$W91</f>
        <v>80</v>
      </c>
      <c r="Z6" s="109"/>
      <c r="AA6" s="109"/>
      <c r="AB6" s="109">
        <f>'ЦФУ Посуда'!$W104</f>
        <v>80</v>
      </c>
      <c r="AC6" s="109"/>
      <c r="AD6" s="109"/>
      <c r="AE6" s="109">
        <f>'ЦФУ Посуда'!$W117</f>
        <v>80</v>
      </c>
      <c r="AF6" s="109"/>
      <c r="AG6" s="109"/>
      <c r="AH6" s="109">
        <f>'ЦФУ Посуда'!$W130</f>
        <v>80</v>
      </c>
      <c r="AI6" s="109"/>
      <c r="AJ6" s="109"/>
      <c r="AK6" s="109">
        <f>'ЦФУ Посуда'!$W143</f>
        <v>80</v>
      </c>
      <c r="AL6" s="109"/>
      <c r="AM6" s="109"/>
      <c r="AN6" s="67"/>
      <c r="AO6" s="109">
        <f t="shared" si="0"/>
        <v>880</v>
      </c>
      <c r="AP6" s="109"/>
      <c r="AQ6" s="109"/>
      <c r="AR6" s="109"/>
    </row>
    <row r="7" spans="1:44" ht="12.75">
      <c r="A7" s="111" t="s">
        <v>78</v>
      </c>
      <c r="B7" s="111"/>
      <c r="C7" s="111"/>
      <c r="D7" s="111"/>
      <c r="E7" s="111"/>
      <c r="F7" s="111"/>
      <c r="G7" s="109">
        <f>G5+G6</f>
        <v>139.3</v>
      </c>
      <c r="H7" s="109"/>
      <c r="I7" s="109"/>
      <c r="J7" s="109">
        <f>J5+J6</f>
        <v>149.8</v>
      </c>
      <c r="K7" s="109"/>
      <c r="L7" s="109"/>
      <c r="M7" s="109">
        <f>M5+M6</f>
        <v>161.8</v>
      </c>
      <c r="N7" s="109"/>
      <c r="O7" s="109"/>
      <c r="P7" s="109">
        <f>P5+P6</f>
        <v>172.3</v>
      </c>
      <c r="Q7" s="109"/>
      <c r="R7" s="109"/>
      <c r="S7" s="109">
        <f>S5+S6</f>
        <v>182.8</v>
      </c>
      <c r="T7" s="109"/>
      <c r="U7" s="109"/>
      <c r="V7" s="109">
        <f>V5+V6</f>
        <v>188.8</v>
      </c>
      <c r="W7" s="109"/>
      <c r="X7" s="109"/>
      <c r="Y7" s="109">
        <f>Y5+Y6</f>
        <v>191.79999999999998</v>
      </c>
      <c r="Z7" s="109"/>
      <c r="AA7" s="109"/>
      <c r="AB7" s="109">
        <f>AB5+AB6</f>
        <v>191.79999999999998</v>
      </c>
      <c r="AC7" s="109"/>
      <c r="AD7" s="109"/>
      <c r="AE7" s="109">
        <f>AE5+AE6</f>
        <v>191.79999999999998</v>
      </c>
      <c r="AF7" s="109"/>
      <c r="AG7" s="109"/>
      <c r="AH7" s="109">
        <f>AH5+AH6</f>
        <v>191.79999999999998</v>
      </c>
      <c r="AI7" s="109"/>
      <c r="AJ7" s="109"/>
      <c r="AK7" s="109">
        <f>AK5+AK6</f>
        <v>245.03684210526313</v>
      </c>
      <c r="AL7" s="109"/>
      <c r="AM7" s="109"/>
      <c r="AN7" s="67"/>
      <c r="AO7" s="109">
        <f t="shared" si="0"/>
        <v>2007.0368421052628</v>
      </c>
      <c r="AP7" s="109"/>
      <c r="AQ7" s="109"/>
      <c r="AR7" s="109"/>
    </row>
    <row r="8" spans="1:44" ht="12.75">
      <c r="A8" s="113" t="s">
        <v>252</v>
      </c>
      <c r="B8" s="114"/>
      <c r="C8" s="114"/>
      <c r="D8" s="114"/>
      <c r="E8" s="114"/>
      <c r="F8" s="114"/>
      <c r="G8" s="109">
        <f>G3*$A$1/100</f>
        <v>62.885789473684206</v>
      </c>
      <c r="H8" s="109"/>
      <c r="I8" s="109"/>
      <c r="J8" s="109">
        <f>J3*$A$1/100</f>
        <v>87.07263157894737</v>
      </c>
      <c r="K8" s="109"/>
      <c r="L8" s="109"/>
      <c r="M8" s="109">
        <f>M3*$A$1/100</f>
        <v>114.71473684210527</v>
      </c>
      <c r="N8" s="109"/>
      <c r="O8" s="109"/>
      <c r="P8" s="109">
        <f>P3*$A$1/100</f>
        <v>138.90157894736842</v>
      </c>
      <c r="Q8" s="109"/>
      <c r="R8" s="109"/>
      <c r="S8" s="109">
        <f>S3*$A$1/100</f>
        <v>163.0884210526316</v>
      </c>
      <c r="T8" s="109"/>
      <c r="U8" s="109"/>
      <c r="V8" s="109">
        <f>V3*$A$1/100</f>
        <v>176.90947368421052</v>
      </c>
      <c r="W8" s="109"/>
      <c r="X8" s="109"/>
      <c r="Y8" s="109">
        <f>Y3*$A$1/100</f>
        <v>183.82</v>
      </c>
      <c r="Z8" s="109"/>
      <c r="AA8" s="109"/>
      <c r="AB8" s="109">
        <f>AB3*$A$1/100</f>
        <v>183.82</v>
      </c>
      <c r="AC8" s="109"/>
      <c r="AD8" s="109"/>
      <c r="AE8" s="109">
        <f>AE3*$A$1/100</f>
        <v>183.82</v>
      </c>
      <c r="AF8" s="109"/>
      <c r="AG8" s="109"/>
      <c r="AH8" s="109">
        <f>AH3*$A$1/100</f>
        <v>183.82</v>
      </c>
      <c r="AI8" s="109"/>
      <c r="AJ8" s="109"/>
      <c r="AK8" s="109">
        <f>AK3*$A$1/100</f>
        <v>183.82</v>
      </c>
      <c r="AL8" s="109"/>
      <c r="AM8" s="109"/>
      <c r="AN8" s="67"/>
      <c r="AO8" s="109">
        <f>SUM(G8:AM8)</f>
        <v>1662.6726315789472</v>
      </c>
      <c r="AP8" s="109"/>
      <c r="AQ8" s="109"/>
      <c r="AR8" s="109"/>
    </row>
    <row r="9" spans="1:44" ht="12.75">
      <c r="A9" s="113" t="s">
        <v>251</v>
      </c>
      <c r="B9" s="114"/>
      <c r="C9" s="114"/>
      <c r="D9" s="114"/>
      <c r="E9" s="114"/>
      <c r="F9" s="114"/>
      <c r="G9" s="109">
        <f>G4*$A$1/100</f>
        <v>62.885789473684206</v>
      </c>
      <c r="H9" s="109"/>
      <c r="I9" s="109"/>
      <c r="J9" s="109">
        <f>J4*$A$1/100</f>
        <v>87.07263157894737</v>
      </c>
      <c r="K9" s="109"/>
      <c r="L9" s="109"/>
      <c r="M9" s="109">
        <f>M4*$A$1/100</f>
        <v>114.71473684210527</v>
      </c>
      <c r="N9" s="109"/>
      <c r="O9" s="109"/>
      <c r="P9" s="109">
        <f>P4*$A$1/100</f>
        <v>138.90157894736842</v>
      </c>
      <c r="Q9" s="109"/>
      <c r="R9" s="109"/>
      <c r="S9" s="109">
        <f>S4*$A$1/100</f>
        <v>163.0884210526316</v>
      </c>
      <c r="T9" s="109"/>
      <c r="U9" s="109"/>
      <c r="V9" s="109">
        <f>V4*$A$1/100</f>
        <v>176.90947368421052</v>
      </c>
      <c r="W9" s="109"/>
      <c r="X9" s="109"/>
      <c r="Y9" s="109">
        <f>Y4*$A$1/100</f>
        <v>183.82</v>
      </c>
      <c r="Z9" s="109"/>
      <c r="AA9" s="109"/>
      <c r="AB9" s="109">
        <f>AB4*$A$1/100</f>
        <v>183.82</v>
      </c>
      <c r="AC9" s="109"/>
      <c r="AD9" s="109"/>
      <c r="AE9" s="109">
        <f>AE4*$A$1/100</f>
        <v>183.82</v>
      </c>
      <c r="AF9" s="109"/>
      <c r="AG9" s="109"/>
      <c r="AH9" s="109">
        <f>AH4*$A$1/100</f>
        <v>183.82</v>
      </c>
      <c r="AI9" s="109"/>
      <c r="AJ9" s="109"/>
      <c r="AK9" s="109">
        <f>AK4*$A$1/100</f>
        <v>266.05526315789473</v>
      </c>
      <c r="AL9" s="109"/>
      <c r="AM9" s="109"/>
      <c r="AN9" s="67"/>
      <c r="AO9" s="109">
        <f t="shared" si="0"/>
        <v>1744.907894736842</v>
      </c>
      <c r="AP9" s="109"/>
      <c r="AQ9" s="109"/>
      <c r="AR9" s="109"/>
    </row>
    <row r="10" spans="1:44" ht="12.75">
      <c r="A10" s="111" t="s">
        <v>76</v>
      </c>
      <c r="B10" s="111"/>
      <c r="C10" s="111"/>
      <c r="D10" s="111"/>
      <c r="E10" s="111"/>
      <c r="F10" s="111"/>
      <c r="G10" s="109">
        <f>'ЦФУ Посуда'!$AG9</f>
        <v>73.6842105263158</v>
      </c>
      <c r="H10" s="109"/>
      <c r="I10" s="109"/>
      <c r="J10" s="109">
        <f>'ЦФУ Посуда'!$AG22</f>
        <v>58.947368421052644</v>
      </c>
      <c r="K10" s="109"/>
      <c r="L10" s="109"/>
      <c r="M10" s="109">
        <f>'ЦФУ Посуда'!$AG35</f>
        <v>42.105263157894754</v>
      </c>
      <c r="N10" s="109"/>
      <c r="O10" s="109"/>
      <c r="P10" s="109">
        <f>'ЦФУ Посуда'!$AG48</f>
        <v>27.368421052631575</v>
      </c>
      <c r="Q10" s="109"/>
      <c r="R10" s="109"/>
      <c r="S10" s="109">
        <f>'ЦФУ Посуда'!$AG61</f>
        <v>12.631578947368421</v>
      </c>
      <c r="T10" s="109"/>
      <c r="U10" s="109"/>
      <c r="V10" s="109">
        <f>'ЦФУ Посуда'!$AG74</f>
        <v>4.21052631578948</v>
      </c>
      <c r="W10" s="109"/>
      <c r="X10" s="109"/>
      <c r="Y10" s="109">
        <f>'ЦФУ Посуда'!$AG87</f>
        <v>0</v>
      </c>
      <c r="Z10" s="109"/>
      <c r="AA10" s="109"/>
      <c r="AB10" s="109">
        <f>'ЦФУ Посуда'!$AG100</f>
        <v>0</v>
      </c>
      <c r="AC10" s="109"/>
      <c r="AD10" s="109"/>
      <c r="AE10" s="109">
        <f>'ЦФУ Посуда'!$AG113</f>
        <v>0</v>
      </c>
      <c r="AF10" s="109"/>
      <c r="AG10" s="109"/>
      <c r="AH10" s="109">
        <f>'ЦФУ Посуда'!$AG126</f>
        <v>0</v>
      </c>
      <c r="AI10" s="109"/>
      <c r="AJ10" s="109"/>
      <c r="AK10" s="109">
        <f>'ЦФУ Посуда'!$AG139</f>
        <v>0</v>
      </c>
      <c r="AL10" s="109"/>
      <c r="AM10" s="109"/>
      <c r="AN10" s="67"/>
      <c r="AO10" s="109">
        <f t="shared" si="0"/>
        <v>218.94736842105263</v>
      </c>
      <c r="AP10" s="109"/>
      <c r="AQ10" s="109"/>
      <c r="AR10" s="109"/>
    </row>
    <row r="11" spans="1:44" ht="12.75">
      <c r="A11" s="111" t="s">
        <v>224</v>
      </c>
      <c r="B11" s="111"/>
      <c r="C11" s="111"/>
      <c r="D11" s="111"/>
      <c r="E11" s="111"/>
      <c r="F11" s="111"/>
      <c r="G11" s="109">
        <f>'ЦФУ Посуда'!$AG11</f>
        <v>-73.6842105263158</v>
      </c>
      <c r="H11" s="109"/>
      <c r="I11" s="109"/>
      <c r="J11" s="109">
        <f>'ЦФУ Посуда'!$AG24</f>
        <v>-58.947368421052644</v>
      </c>
      <c r="K11" s="109"/>
      <c r="L11" s="109"/>
      <c r="M11" s="109">
        <f>'ЦФУ Посуда'!$AG37</f>
        <v>-42.105263157894754</v>
      </c>
      <c r="N11" s="109"/>
      <c r="O11" s="109"/>
      <c r="P11" s="109">
        <f>'ЦФУ Посуда'!$AG50</f>
        <v>-27.368421052631575</v>
      </c>
      <c r="Q11" s="109"/>
      <c r="R11" s="109"/>
      <c r="S11" s="109">
        <f>'ЦФУ Посуда'!$AG63</f>
        <v>-12.631578947368421</v>
      </c>
      <c r="T11" s="109"/>
      <c r="U11" s="109"/>
      <c r="V11" s="109">
        <f>'ЦФУ Посуда'!$AG76</f>
        <v>-4.210526315789473</v>
      </c>
      <c r="W11" s="109"/>
      <c r="X11" s="109"/>
      <c r="Y11" s="109">
        <f>'ЦФУ Посуда'!$AG89</f>
        <v>2.3092638912203253E-15</v>
      </c>
      <c r="Z11" s="109"/>
      <c r="AA11" s="109"/>
      <c r="AB11" s="109">
        <f>'ЦФУ Посуда'!$AG102</f>
        <v>2.3092638912203253E-15</v>
      </c>
      <c r="AC11" s="109"/>
      <c r="AD11" s="109"/>
      <c r="AE11" s="109">
        <f>'ЦФУ Посуда'!$AG115</f>
        <v>2.3092638912203253E-15</v>
      </c>
      <c r="AF11" s="109"/>
      <c r="AG11" s="109"/>
      <c r="AH11" s="109">
        <f>'ЦФУ Посуда'!$AG128</f>
        <v>2.3092638912203253E-15</v>
      </c>
      <c r="AI11" s="109"/>
      <c r="AJ11" s="109"/>
      <c r="AK11" s="109">
        <f>'ЦФУ Посуда'!$AG141</f>
        <v>32.56842105263158</v>
      </c>
      <c r="AL11" s="109"/>
      <c r="AM11" s="109"/>
      <c r="AN11" s="67"/>
      <c r="AO11" s="109">
        <f>SUM(G11:AM11)</f>
        <v>-186.37894736842105</v>
      </c>
      <c r="AP11" s="109"/>
      <c r="AQ11" s="109"/>
      <c r="AR11" s="109"/>
    </row>
    <row r="12" spans="1:44" ht="12.75">
      <c r="A12" s="111" t="s">
        <v>253</v>
      </c>
      <c r="B12" s="111"/>
      <c r="C12" s="111"/>
      <c r="D12" s="111"/>
      <c r="E12" s="111"/>
      <c r="F12" s="111"/>
      <c r="G12" s="109">
        <f>G10+G11</f>
        <v>0</v>
      </c>
      <c r="H12" s="109"/>
      <c r="I12" s="109"/>
      <c r="J12" s="109">
        <f>J10+J11</f>
        <v>0</v>
      </c>
      <c r="K12" s="109"/>
      <c r="L12" s="109"/>
      <c r="M12" s="109">
        <f>M10+M11</f>
        <v>0</v>
      </c>
      <c r="N12" s="109"/>
      <c r="O12" s="109"/>
      <c r="P12" s="109">
        <f>P10+P11</f>
        <v>0</v>
      </c>
      <c r="Q12" s="109"/>
      <c r="R12" s="109"/>
      <c r="S12" s="109">
        <f>S10+S11</f>
        <v>0</v>
      </c>
      <c r="T12" s="109"/>
      <c r="U12" s="109"/>
      <c r="V12" s="109">
        <f>V10+V11</f>
        <v>7.105427357601002E-15</v>
      </c>
      <c r="W12" s="109"/>
      <c r="X12" s="109"/>
      <c r="Y12" s="109">
        <f>Y10+Y11</f>
        <v>2.3092638912203253E-15</v>
      </c>
      <c r="Z12" s="109"/>
      <c r="AA12" s="109"/>
      <c r="AB12" s="109">
        <f>AB10+AB11</f>
        <v>2.3092638912203253E-15</v>
      </c>
      <c r="AC12" s="109"/>
      <c r="AD12" s="109"/>
      <c r="AE12" s="109">
        <f>AE10+AE11</f>
        <v>2.3092638912203253E-15</v>
      </c>
      <c r="AF12" s="109"/>
      <c r="AG12" s="109"/>
      <c r="AH12" s="109">
        <f>AH10+AH11</f>
        <v>2.3092638912203253E-15</v>
      </c>
      <c r="AI12" s="109"/>
      <c r="AJ12" s="109"/>
      <c r="AK12" s="109">
        <f>AK10+AK11</f>
        <v>32.56842105263158</v>
      </c>
      <c r="AL12" s="109"/>
      <c r="AM12" s="109"/>
      <c r="AN12" s="67"/>
      <c r="AO12" s="109">
        <f>SUM(G12:AM12)</f>
        <v>32.56842105263159</v>
      </c>
      <c r="AP12" s="109"/>
      <c r="AQ12" s="109"/>
      <c r="AR12" s="109"/>
    </row>
    <row r="13" spans="1:44" ht="12.75">
      <c r="A13" s="111" t="s">
        <v>270</v>
      </c>
      <c r="B13" s="111"/>
      <c r="C13" s="111"/>
      <c r="D13" s="111"/>
      <c r="E13" s="111"/>
      <c r="F13" s="111"/>
      <c r="G13" s="109">
        <f>'ЦФУ Посуда'!AI17</f>
        <v>0</v>
      </c>
      <c r="H13" s="109"/>
      <c r="I13" s="109"/>
      <c r="J13" s="109">
        <f>'ЦФУ Посуда'!$AI30</f>
        <v>0</v>
      </c>
      <c r="K13" s="109"/>
      <c r="L13" s="109"/>
      <c r="M13" s="109">
        <f>'ЦФУ Посуда'!$AI43</f>
        <v>0</v>
      </c>
      <c r="N13" s="109"/>
      <c r="O13" s="109"/>
      <c r="P13" s="109">
        <f>'ЦФУ Посуда'!$AI56</f>
        <v>0</v>
      </c>
      <c r="Q13" s="109"/>
      <c r="R13" s="109"/>
      <c r="S13" s="109">
        <f>'ЦФУ Посуда'!$AI69</f>
        <v>0</v>
      </c>
      <c r="T13" s="109"/>
      <c r="U13" s="109"/>
      <c r="V13" s="109">
        <f>'ЦФУ Посуда'!$AI82</f>
        <v>0</v>
      </c>
      <c r="W13" s="109"/>
      <c r="X13" s="109"/>
      <c r="Y13" s="109">
        <f>'ЦФУ Посуда'!$AI95</f>
        <v>0</v>
      </c>
      <c r="Z13" s="109"/>
      <c r="AA13" s="109"/>
      <c r="AB13" s="109">
        <f>'ЦФУ Посуда'!$AI108</f>
        <v>0</v>
      </c>
      <c r="AC13" s="109"/>
      <c r="AD13" s="109"/>
      <c r="AE13" s="109">
        <f>'ЦФУ Посуда'!$AI121</f>
        <v>0</v>
      </c>
      <c r="AF13" s="109"/>
      <c r="AG13" s="109"/>
      <c r="AH13" s="109">
        <f>'ЦФУ Посуда'!$AI134</f>
        <v>0</v>
      </c>
      <c r="AI13" s="109"/>
      <c r="AJ13" s="109"/>
      <c r="AK13" s="109">
        <f>'ЦФУ Посуда'!$AI147</f>
        <v>0</v>
      </c>
      <c r="AL13" s="109"/>
      <c r="AM13" s="109"/>
      <c r="AN13" s="67"/>
      <c r="AO13" s="109">
        <f>SUM(G13:AM13)</f>
        <v>0</v>
      </c>
      <c r="AP13" s="109"/>
      <c r="AQ13" s="109"/>
      <c r="AR13" s="109"/>
    </row>
    <row r="14" spans="1:44" ht="12.75">
      <c r="A14" s="110" t="s">
        <v>7</v>
      </c>
      <c r="B14" s="110"/>
      <c r="C14" s="110"/>
      <c r="D14" s="110"/>
      <c r="E14" s="110"/>
      <c r="F14" s="110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spans="1:44" ht="12.75">
      <c r="A15" s="110" t="s">
        <v>250</v>
      </c>
      <c r="B15" s="110"/>
      <c r="C15" s="110"/>
      <c r="D15" s="110"/>
      <c r="E15" s="110"/>
      <c r="F15" s="110"/>
      <c r="G15" s="109">
        <f>'ЦФУ Оборуд.'!$W7</f>
        <v>360</v>
      </c>
      <c r="H15" s="109"/>
      <c r="I15" s="109"/>
      <c r="J15" s="109">
        <f>'ЦФУ Оборуд.'!$W20</f>
        <v>1300</v>
      </c>
      <c r="K15" s="109"/>
      <c r="L15" s="109"/>
      <c r="M15" s="109">
        <f>'ЦФУ Оборуд.'!$W33</f>
        <v>1960</v>
      </c>
      <c r="N15" s="109"/>
      <c r="O15" s="109"/>
      <c r="P15" s="109">
        <f>'ЦФУ Оборуд.'!$W46</f>
        <v>3000</v>
      </c>
      <c r="Q15" s="109"/>
      <c r="R15" s="109"/>
      <c r="S15" s="109">
        <f>'ЦФУ Оборуд.'!$W59</f>
        <v>4020</v>
      </c>
      <c r="T15" s="109"/>
      <c r="U15" s="109"/>
      <c r="V15" s="109">
        <f>'ЦФУ Оборуд.'!$W72</f>
        <v>4720</v>
      </c>
      <c r="W15" s="109"/>
      <c r="X15" s="109"/>
      <c r="Y15" s="109">
        <f>'ЦФУ Оборуд.'!$W85</f>
        <v>5120</v>
      </c>
      <c r="Z15" s="109"/>
      <c r="AA15" s="109"/>
      <c r="AB15" s="109">
        <f>'ЦФУ Оборуд.'!$W98</f>
        <v>5320</v>
      </c>
      <c r="AC15" s="109"/>
      <c r="AD15" s="109"/>
      <c r="AE15" s="109">
        <f>'ЦФУ Оборуд.'!$W111</f>
        <v>5320</v>
      </c>
      <c r="AF15" s="109"/>
      <c r="AG15" s="109"/>
      <c r="AH15" s="109">
        <f>'ЦФУ Оборуд.'!$W124</f>
        <v>5320</v>
      </c>
      <c r="AI15" s="109"/>
      <c r="AJ15" s="109"/>
      <c r="AK15" s="109">
        <f>'ЦФУ Оборуд.'!$W137</f>
        <v>5320</v>
      </c>
      <c r="AL15" s="109"/>
      <c r="AM15" s="109"/>
      <c r="AN15" s="67"/>
      <c r="AO15" s="109">
        <f>SUM(G15:AM15)</f>
        <v>41760</v>
      </c>
      <c r="AP15" s="109"/>
      <c r="AQ15" s="109"/>
      <c r="AR15" s="109"/>
    </row>
    <row r="16" spans="1:44" ht="12.75">
      <c r="A16" s="110" t="s">
        <v>75</v>
      </c>
      <c r="B16" s="110"/>
      <c r="C16" s="110"/>
      <c r="D16" s="110"/>
      <c r="E16" s="110"/>
      <c r="F16" s="110"/>
      <c r="G16" s="109">
        <f>'ЦФУ Оборуд.'!$W8</f>
        <v>360</v>
      </c>
      <c r="H16" s="109"/>
      <c r="I16" s="109"/>
      <c r="J16" s="109">
        <f>'ЦФУ Оборуд.'!$W21</f>
        <v>1300</v>
      </c>
      <c r="K16" s="109"/>
      <c r="L16" s="109"/>
      <c r="M16" s="109">
        <f>'ЦФУ Оборуд.'!$W34</f>
        <v>1960</v>
      </c>
      <c r="N16" s="109"/>
      <c r="O16" s="109"/>
      <c r="P16" s="109">
        <f>'ЦФУ Оборуд.'!$W47</f>
        <v>3000</v>
      </c>
      <c r="Q16" s="109"/>
      <c r="R16" s="109"/>
      <c r="S16" s="109">
        <f>'ЦФУ Оборуд.'!$W60</f>
        <v>4020</v>
      </c>
      <c r="T16" s="109"/>
      <c r="U16" s="109"/>
      <c r="V16" s="109">
        <f>'ЦФУ Оборуд.'!$W73</f>
        <v>4720</v>
      </c>
      <c r="W16" s="109"/>
      <c r="X16" s="109"/>
      <c r="Y16" s="109">
        <f>'ЦФУ Оборуд.'!$W86</f>
        <v>5120</v>
      </c>
      <c r="Z16" s="109"/>
      <c r="AA16" s="109"/>
      <c r="AB16" s="109">
        <f>'ЦФУ Оборуд.'!$W99</f>
        <v>5320</v>
      </c>
      <c r="AC16" s="109"/>
      <c r="AD16" s="109"/>
      <c r="AE16" s="109">
        <f>'ЦФУ Оборуд.'!$W112</f>
        <v>5320</v>
      </c>
      <c r="AF16" s="109"/>
      <c r="AG16" s="109"/>
      <c r="AH16" s="109">
        <f>'ЦФУ Оборуд.'!$W125</f>
        <v>5320</v>
      </c>
      <c r="AI16" s="109"/>
      <c r="AJ16" s="109"/>
      <c r="AK16" s="109">
        <f>'ЦФУ Оборуд.'!$W138</f>
        <v>5320</v>
      </c>
      <c r="AL16" s="109"/>
      <c r="AM16" s="109"/>
      <c r="AN16" s="67"/>
      <c r="AO16" s="109">
        <f aca="true" t="shared" si="1" ref="AO16:AO22">SUM(G16:AM16)</f>
        <v>41760</v>
      </c>
      <c r="AP16" s="109"/>
      <c r="AQ16" s="109"/>
      <c r="AR16" s="109"/>
    </row>
    <row r="17" spans="1:44" ht="12.75">
      <c r="A17" s="110" t="s">
        <v>25</v>
      </c>
      <c r="B17" s="110"/>
      <c r="C17" s="110"/>
      <c r="D17" s="110"/>
      <c r="E17" s="110"/>
      <c r="F17" s="110"/>
      <c r="G17" s="109">
        <f>'ЦФУ Оборуд.'!$W19</f>
        <v>46.8</v>
      </c>
      <c r="H17" s="109"/>
      <c r="I17" s="109"/>
      <c r="J17" s="109">
        <f>'ЦФУ Оборуд.'!$W32</f>
        <v>56.599999999999994</v>
      </c>
      <c r="K17" s="109"/>
      <c r="L17" s="109"/>
      <c r="M17" s="109">
        <f>'ЦФУ Оборуд.'!$W45</f>
        <v>63.599999999999994</v>
      </c>
      <c r="N17" s="109"/>
      <c r="O17" s="109"/>
      <c r="P17" s="109">
        <f>'ЦФУ Оборуд.'!$W58</f>
        <v>77</v>
      </c>
      <c r="Q17" s="109"/>
      <c r="R17" s="109"/>
      <c r="S17" s="109">
        <f>'ЦФУ Оборуд.'!$W71</f>
        <v>92.3</v>
      </c>
      <c r="T17" s="109"/>
      <c r="U17" s="109"/>
      <c r="V17" s="109">
        <f>'ЦФУ Оборуд.'!$W84</f>
        <v>102.8</v>
      </c>
      <c r="W17" s="109"/>
      <c r="X17" s="109"/>
      <c r="Y17" s="109">
        <f>'ЦФУ Оборуд.'!$W97</f>
        <v>108.8</v>
      </c>
      <c r="Z17" s="109"/>
      <c r="AA17" s="109"/>
      <c r="AB17" s="109">
        <f>'ЦФУ Оборуд.'!$W110</f>
        <v>111.79999999999998</v>
      </c>
      <c r="AC17" s="109"/>
      <c r="AD17" s="109"/>
      <c r="AE17" s="109">
        <f>'ЦФУ Оборуд.'!$W123</f>
        <v>111.79999999999998</v>
      </c>
      <c r="AF17" s="109"/>
      <c r="AG17" s="109"/>
      <c r="AH17" s="109">
        <f>'ЦФУ Оборуд.'!$W136</f>
        <v>111.79999999999998</v>
      </c>
      <c r="AI17" s="109"/>
      <c r="AJ17" s="109"/>
      <c r="AK17" s="109">
        <f>'ЦФУ Оборуд.'!$W149</f>
        <v>111.79999999999998</v>
      </c>
      <c r="AL17" s="109"/>
      <c r="AM17" s="109"/>
      <c r="AN17" s="67"/>
      <c r="AO17" s="109">
        <f t="shared" si="1"/>
        <v>995.0999999999998</v>
      </c>
      <c r="AP17" s="109"/>
      <c r="AQ17" s="109"/>
      <c r="AR17" s="109"/>
    </row>
    <row r="18" spans="1:44" ht="12.75">
      <c r="A18" s="111" t="s">
        <v>77</v>
      </c>
      <c r="B18" s="111"/>
      <c r="C18" s="111"/>
      <c r="D18" s="111"/>
      <c r="E18" s="111"/>
      <c r="F18" s="111"/>
      <c r="G18" s="109">
        <f>'ЦФУ Оборуд.'!$W13</f>
        <v>80</v>
      </c>
      <c r="H18" s="109"/>
      <c r="I18" s="109"/>
      <c r="J18" s="109">
        <f>'ЦФУ Оборуд.'!$W26</f>
        <v>80</v>
      </c>
      <c r="K18" s="109"/>
      <c r="L18" s="109"/>
      <c r="M18" s="109">
        <f>'ЦФУ Оборуд.'!$W39</f>
        <v>80</v>
      </c>
      <c r="N18" s="109"/>
      <c r="O18" s="109"/>
      <c r="P18" s="109">
        <f>'ЦФУ Оборуд.'!$W52</f>
        <v>80</v>
      </c>
      <c r="Q18" s="109"/>
      <c r="R18" s="109"/>
      <c r="S18" s="109">
        <f>'ЦФУ Оборуд.'!$W65</f>
        <v>80</v>
      </c>
      <c r="T18" s="109"/>
      <c r="U18" s="109"/>
      <c r="V18" s="109">
        <f>'ЦФУ Оборуд.'!$W78</f>
        <v>80</v>
      </c>
      <c r="W18" s="109"/>
      <c r="X18" s="109"/>
      <c r="Y18" s="109">
        <f>'ЦФУ Оборуд.'!$W91</f>
        <v>80</v>
      </c>
      <c r="Z18" s="109"/>
      <c r="AA18" s="109"/>
      <c r="AB18" s="109">
        <f>'ЦФУ Оборуд.'!$W104</f>
        <v>80</v>
      </c>
      <c r="AC18" s="109"/>
      <c r="AD18" s="109"/>
      <c r="AE18" s="109">
        <f>'ЦФУ Оборуд.'!$W117</f>
        <v>80</v>
      </c>
      <c r="AF18" s="109"/>
      <c r="AG18" s="109"/>
      <c r="AH18" s="109">
        <f>'ЦФУ Оборуд.'!$W130</f>
        <v>80</v>
      </c>
      <c r="AI18" s="109"/>
      <c r="AJ18" s="109"/>
      <c r="AK18" s="109">
        <f>'ЦФУ Оборуд.'!$W143</f>
        <v>80</v>
      </c>
      <c r="AL18" s="109"/>
      <c r="AM18" s="109"/>
      <c r="AN18" s="67"/>
      <c r="AO18" s="109">
        <f t="shared" si="1"/>
        <v>880</v>
      </c>
      <c r="AP18" s="109"/>
      <c r="AQ18" s="109"/>
      <c r="AR18" s="109"/>
    </row>
    <row r="19" spans="1:44" ht="12.75">
      <c r="A19" s="111" t="s">
        <v>78</v>
      </c>
      <c r="B19" s="111"/>
      <c r="C19" s="111"/>
      <c r="D19" s="111"/>
      <c r="E19" s="111"/>
      <c r="F19" s="111"/>
      <c r="G19" s="109">
        <f>G17+G18</f>
        <v>126.8</v>
      </c>
      <c r="H19" s="109"/>
      <c r="I19" s="109"/>
      <c r="J19" s="109">
        <f>J17+J18</f>
        <v>136.6</v>
      </c>
      <c r="K19" s="109"/>
      <c r="L19" s="109"/>
      <c r="M19" s="109">
        <f>M17+M18</f>
        <v>143.6</v>
      </c>
      <c r="N19" s="109"/>
      <c r="O19" s="109"/>
      <c r="P19" s="109">
        <f>P17+P18</f>
        <v>157</v>
      </c>
      <c r="Q19" s="109"/>
      <c r="R19" s="109"/>
      <c r="S19" s="109">
        <f>S17+S18</f>
        <v>172.3</v>
      </c>
      <c r="T19" s="109"/>
      <c r="U19" s="109"/>
      <c r="V19" s="109">
        <f>V17+V18</f>
        <v>182.8</v>
      </c>
      <c r="W19" s="109"/>
      <c r="X19" s="109"/>
      <c r="Y19" s="109">
        <f>Y17+Y18</f>
        <v>188.8</v>
      </c>
      <c r="Z19" s="109"/>
      <c r="AA19" s="109"/>
      <c r="AB19" s="109">
        <f>AB17+AB18</f>
        <v>191.79999999999998</v>
      </c>
      <c r="AC19" s="109"/>
      <c r="AD19" s="109"/>
      <c r="AE19" s="109">
        <f>AE17+AE18</f>
        <v>191.79999999999998</v>
      </c>
      <c r="AF19" s="109"/>
      <c r="AG19" s="109"/>
      <c r="AH19" s="109">
        <f>AH17+AH18</f>
        <v>191.79999999999998</v>
      </c>
      <c r="AI19" s="109"/>
      <c r="AJ19" s="109"/>
      <c r="AK19" s="109">
        <f>AK17+AK18</f>
        <v>191.79999999999998</v>
      </c>
      <c r="AL19" s="109"/>
      <c r="AM19" s="109"/>
      <c r="AN19" s="67"/>
      <c r="AO19" s="109">
        <f t="shared" si="1"/>
        <v>1875.0999999999997</v>
      </c>
      <c r="AP19" s="109"/>
      <c r="AQ19" s="109"/>
      <c r="AR19" s="109"/>
    </row>
    <row r="20" spans="1:44" ht="12.75">
      <c r="A20" s="113" t="s">
        <v>252</v>
      </c>
      <c r="B20" s="114"/>
      <c r="C20" s="114"/>
      <c r="D20" s="114"/>
      <c r="E20" s="114"/>
      <c r="F20" s="114"/>
      <c r="G20" s="109">
        <f>G15*$A$1/100</f>
        <v>12.438947368421053</v>
      </c>
      <c r="H20" s="109"/>
      <c r="I20" s="109"/>
      <c r="J20" s="109">
        <f>J15*$A$1/100</f>
        <v>44.91842105263157</v>
      </c>
      <c r="K20" s="109"/>
      <c r="L20" s="109"/>
      <c r="M20" s="109">
        <f>M15*$A$1/100</f>
        <v>67.72315789473684</v>
      </c>
      <c r="N20" s="109"/>
      <c r="O20" s="109"/>
      <c r="P20" s="109">
        <f>P15*$A$1/100</f>
        <v>103.6578947368421</v>
      </c>
      <c r="Q20" s="109"/>
      <c r="R20" s="109"/>
      <c r="S20" s="109">
        <f>S15*$A$1/100</f>
        <v>138.90157894736842</v>
      </c>
      <c r="T20" s="109"/>
      <c r="U20" s="109"/>
      <c r="V20" s="109">
        <f>V15*$A$1/100</f>
        <v>163.0884210526316</v>
      </c>
      <c r="W20" s="109"/>
      <c r="X20" s="109"/>
      <c r="Y20" s="109">
        <f>Y15*$A$1/100</f>
        <v>176.90947368421052</v>
      </c>
      <c r="Z20" s="109"/>
      <c r="AA20" s="109"/>
      <c r="AB20" s="109">
        <f>AB15*$A$1/100</f>
        <v>183.82</v>
      </c>
      <c r="AC20" s="109"/>
      <c r="AD20" s="109"/>
      <c r="AE20" s="109">
        <f>AE15*$A$1/100</f>
        <v>183.82</v>
      </c>
      <c r="AF20" s="109"/>
      <c r="AG20" s="109"/>
      <c r="AH20" s="109">
        <f>AH15*$A$1/100</f>
        <v>183.82</v>
      </c>
      <c r="AI20" s="109"/>
      <c r="AJ20" s="109"/>
      <c r="AK20" s="109">
        <f>AK15*$A$1/100</f>
        <v>183.82</v>
      </c>
      <c r="AL20" s="109"/>
      <c r="AM20" s="109"/>
      <c r="AN20" s="67"/>
      <c r="AO20" s="109">
        <f>SUM(G20:AM20)</f>
        <v>1442.9178947368418</v>
      </c>
      <c r="AP20" s="109"/>
      <c r="AQ20" s="109"/>
      <c r="AR20" s="109"/>
    </row>
    <row r="21" spans="1:44" ht="12.75">
      <c r="A21" s="113" t="s">
        <v>251</v>
      </c>
      <c r="B21" s="114"/>
      <c r="C21" s="114"/>
      <c r="D21" s="114"/>
      <c r="E21" s="114"/>
      <c r="F21" s="114"/>
      <c r="G21" s="109">
        <f>G16*$A$1/100</f>
        <v>12.438947368421053</v>
      </c>
      <c r="H21" s="109"/>
      <c r="I21" s="109"/>
      <c r="J21" s="109">
        <f>J16*$A$1/100</f>
        <v>44.91842105263157</v>
      </c>
      <c r="K21" s="109"/>
      <c r="L21" s="109"/>
      <c r="M21" s="109">
        <f>M16*$A$1/100</f>
        <v>67.72315789473684</v>
      </c>
      <c r="N21" s="109"/>
      <c r="O21" s="109"/>
      <c r="P21" s="109">
        <f>P16*$A$1/100</f>
        <v>103.6578947368421</v>
      </c>
      <c r="Q21" s="109"/>
      <c r="R21" s="109"/>
      <c r="S21" s="109">
        <f>S16*$A$1/100</f>
        <v>138.90157894736842</v>
      </c>
      <c r="T21" s="109"/>
      <c r="U21" s="109"/>
      <c r="V21" s="109">
        <f>V16*$A$1/100</f>
        <v>163.0884210526316</v>
      </c>
      <c r="W21" s="109"/>
      <c r="X21" s="109"/>
      <c r="Y21" s="109">
        <f>Y16*$A$1/100</f>
        <v>176.90947368421052</v>
      </c>
      <c r="Z21" s="109"/>
      <c r="AA21" s="109"/>
      <c r="AB21" s="109">
        <f>AB16*$A$1/100</f>
        <v>183.82</v>
      </c>
      <c r="AC21" s="109"/>
      <c r="AD21" s="109"/>
      <c r="AE21" s="109">
        <f>AE16*$A$1/100</f>
        <v>183.82</v>
      </c>
      <c r="AF21" s="109"/>
      <c r="AG21" s="109"/>
      <c r="AH21" s="109">
        <f>AH16*$A$1/100</f>
        <v>183.82</v>
      </c>
      <c r="AI21" s="109"/>
      <c r="AJ21" s="109"/>
      <c r="AK21" s="109">
        <f>AK16*$A$1/100</f>
        <v>183.82</v>
      </c>
      <c r="AL21" s="109"/>
      <c r="AM21" s="109"/>
      <c r="AN21" s="67"/>
      <c r="AO21" s="109">
        <f t="shared" si="1"/>
        <v>1442.9178947368418</v>
      </c>
      <c r="AP21" s="109"/>
      <c r="AQ21" s="109"/>
      <c r="AR21" s="109"/>
    </row>
    <row r="22" spans="1:44" ht="12.75">
      <c r="A22" s="111" t="s">
        <v>76</v>
      </c>
      <c r="B22" s="111"/>
      <c r="C22" s="111"/>
      <c r="D22" s="111"/>
      <c r="E22" s="111"/>
      <c r="F22" s="111"/>
      <c r="G22" s="109">
        <f>'ЦФУ Оборуд.'!$AG9</f>
        <v>113.82105263157898</v>
      </c>
      <c r="H22" s="109"/>
      <c r="I22" s="109"/>
      <c r="J22" s="109">
        <f>'ЦФУ Оборуд.'!$AG22</f>
        <v>89.7315789473684</v>
      </c>
      <c r="K22" s="109"/>
      <c r="L22" s="109"/>
      <c r="M22" s="109">
        <f>'ЦФУ Оборуд.'!$AG35</f>
        <v>72.93684210526317</v>
      </c>
      <c r="N22" s="109"/>
      <c r="O22" s="109"/>
      <c r="P22" s="109">
        <f>'ЦФУ Оборуд.'!$AG48</f>
        <v>48.842105263157926</v>
      </c>
      <c r="Q22" s="109"/>
      <c r="R22" s="109"/>
      <c r="S22" s="109">
        <f>'ЦФУ Оборуд.'!$AG61</f>
        <v>27.368421052631575</v>
      </c>
      <c r="T22" s="109"/>
      <c r="U22" s="109"/>
      <c r="V22" s="109">
        <f>'ЦФУ Оборуд.'!$AG74</f>
        <v>12.631578947368421</v>
      </c>
      <c r="W22" s="109"/>
      <c r="X22" s="109"/>
      <c r="Y22" s="109">
        <f>'ЦФУ Оборуд.'!$AG87</f>
        <v>4.21052631578948</v>
      </c>
      <c r="Z22" s="109"/>
      <c r="AA22" s="109"/>
      <c r="AB22" s="109">
        <f>'ЦФУ Оборуд.'!$AG100</f>
        <v>0</v>
      </c>
      <c r="AC22" s="109"/>
      <c r="AD22" s="109"/>
      <c r="AE22" s="109">
        <f>'ЦФУ Оборуд.'!$AG113</f>
        <v>0</v>
      </c>
      <c r="AF22" s="109"/>
      <c r="AG22" s="109"/>
      <c r="AH22" s="109">
        <f>'ЦФУ Оборуд.'!$AG126</f>
        <v>0</v>
      </c>
      <c r="AI22" s="109"/>
      <c r="AJ22" s="109"/>
      <c r="AK22" s="109">
        <f>'ЦФУ Оборуд.'!$AG139</f>
        <v>0</v>
      </c>
      <c r="AL22" s="109"/>
      <c r="AM22" s="109"/>
      <c r="AN22" s="67"/>
      <c r="AO22" s="109">
        <f t="shared" si="1"/>
        <v>369.54210526315796</v>
      </c>
      <c r="AP22" s="109"/>
      <c r="AQ22" s="109"/>
      <c r="AR22" s="109"/>
    </row>
    <row r="23" spans="1:44" ht="12.75">
      <c r="A23" s="111" t="s">
        <v>224</v>
      </c>
      <c r="B23" s="111"/>
      <c r="C23" s="111"/>
      <c r="D23" s="111"/>
      <c r="E23" s="111"/>
      <c r="F23" s="111"/>
      <c r="G23" s="109">
        <f>'ЦФУ Оборуд.'!$AG11</f>
        <v>-113.82105263157898</v>
      </c>
      <c r="H23" s="109"/>
      <c r="I23" s="109"/>
      <c r="J23" s="109">
        <f>'ЦФУ Оборуд.'!$AG24</f>
        <v>-89.7315789473684</v>
      </c>
      <c r="K23" s="109"/>
      <c r="L23" s="109"/>
      <c r="M23" s="109">
        <f>'ЦФУ Оборуд.'!$AG37</f>
        <v>-72.93684210526317</v>
      </c>
      <c r="N23" s="109"/>
      <c r="O23" s="109"/>
      <c r="P23" s="109">
        <f>'ЦФУ Оборуд.'!$AG50</f>
        <v>-48.842105263157926</v>
      </c>
      <c r="Q23" s="109"/>
      <c r="R23" s="109"/>
      <c r="S23" s="109">
        <f>'ЦФУ Оборуд.'!$AG63</f>
        <v>-27.368421052631575</v>
      </c>
      <c r="T23" s="109"/>
      <c r="U23" s="109"/>
      <c r="V23" s="109">
        <f>'ЦФУ Оборуд.'!$AG76</f>
        <v>-12.631578947368421</v>
      </c>
      <c r="W23" s="109"/>
      <c r="X23" s="109"/>
      <c r="Y23" s="109">
        <f>'ЦФУ Оборуд.'!$AG89</f>
        <v>-4.210526315789469</v>
      </c>
      <c r="Z23" s="109"/>
      <c r="AA23" s="109"/>
      <c r="AB23" s="109">
        <f>'ЦФУ Оборуд.'!$AG102</f>
        <v>3.552713678800501E-15</v>
      </c>
      <c r="AC23" s="109"/>
      <c r="AD23" s="109"/>
      <c r="AE23" s="109">
        <f>'ЦФУ Оборуд.'!$AG115</f>
        <v>3.552713678800501E-15</v>
      </c>
      <c r="AF23" s="109"/>
      <c r="AG23" s="109"/>
      <c r="AH23" s="109">
        <f>'ЦФУ Оборуд.'!$AG128</f>
        <v>3.552713678800501E-15</v>
      </c>
      <c r="AI23" s="109"/>
      <c r="AJ23" s="109"/>
      <c r="AK23" s="109">
        <f>'ЦФУ Оборуд.'!$AG141</f>
        <v>3.552713678800501E-15</v>
      </c>
      <c r="AL23" s="109"/>
      <c r="AM23" s="109"/>
      <c r="AN23" s="67"/>
      <c r="AO23" s="109">
        <f>SUM(G23:AM23)</f>
        <v>-369.54210526315796</v>
      </c>
      <c r="AP23" s="109"/>
      <c r="AQ23" s="109"/>
      <c r="AR23" s="109"/>
    </row>
    <row r="24" spans="1:44" ht="12.75">
      <c r="A24" s="111" t="s">
        <v>253</v>
      </c>
      <c r="B24" s="111"/>
      <c r="C24" s="111"/>
      <c r="D24" s="111"/>
      <c r="E24" s="111"/>
      <c r="F24" s="111"/>
      <c r="G24" s="109">
        <f>G22+G23</f>
        <v>0</v>
      </c>
      <c r="H24" s="109"/>
      <c r="I24" s="109"/>
      <c r="J24" s="109">
        <f>J22+J23</f>
        <v>0</v>
      </c>
      <c r="K24" s="109"/>
      <c r="L24" s="109"/>
      <c r="M24" s="109">
        <f>M22+M23</f>
        <v>0</v>
      </c>
      <c r="N24" s="109"/>
      <c r="O24" s="109"/>
      <c r="P24" s="109">
        <f>P22+P23</f>
        <v>0</v>
      </c>
      <c r="Q24" s="109"/>
      <c r="R24" s="109"/>
      <c r="S24" s="109">
        <f>S22+S23</f>
        <v>0</v>
      </c>
      <c r="T24" s="109"/>
      <c r="U24" s="109"/>
      <c r="V24" s="109">
        <f>V22+V23</f>
        <v>0</v>
      </c>
      <c r="W24" s="109"/>
      <c r="X24" s="109"/>
      <c r="Y24" s="109">
        <f>Y22+Y23</f>
        <v>1.0658141036401503E-14</v>
      </c>
      <c r="Z24" s="109"/>
      <c r="AA24" s="109"/>
      <c r="AB24" s="109">
        <f>AB22+AB23</f>
        <v>3.552713678800501E-15</v>
      </c>
      <c r="AC24" s="109"/>
      <c r="AD24" s="109"/>
      <c r="AE24" s="109">
        <f>AE22+AE23</f>
        <v>3.552713678800501E-15</v>
      </c>
      <c r="AF24" s="109"/>
      <c r="AG24" s="109"/>
      <c r="AH24" s="109">
        <f>AH22+AH23</f>
        <v>3.552713678800501E-15</v>
      </c>
      <c r="AI24" s="109"/>
      <c r="AJ24" s="109"/>
      <c r="AK24" s="109">
        <f>AK22+AK23</f>
        <v>3.552713678800501E-15</v>
      </c>
      <c r="AL24" s="109"/>
      <c r="AM24" s="109"/>
      <c r="AN24" s="67"/>
      <c r="AO24" s="109">
        <f>SUM(G24:AM24)</f>
        <v>2.4868995751603507E-14</v>
      </c>
      <c r="AP24" s="109"/>
      <c r="AQ24" s="109"/>
      <c r="AR24" s="109"/>
    </row>
    <row r="25" spans="1:44" ht="12.75">
      <c r="A25" s="111" t="s">
        <v>270</v>
      </c>
      <c r="B25" s="111"/>
      <c r="C25" s="111"/>
      <c r="D25" s="111"/>
      <c r="E25" s="111"/>
      <c r="F25" s="111"/>
      <c r="G25" s="109">
        <f>'ЦФУ Оборуд.'!$AI17</f>
        <v>0</v>
      </c>
      <c r="H25" s="109"/>
      <c r="I25" s="109"/>
      <c r="J25" s="109">
        <f>'ЦФУ Оборуд.'!$AI30</f>
        <v>0</v>
      </c>
      <c r="K25" s="109"/>
      <c r="L25" s="109"/>
      <c r="M25" s="109">
        <f>'ЦФУ Оборуд.'!$AI43</f>
        <v>0</v>
      </c>
      <c r="N25" s="109"/>
      <c r="O25" s="109"/>
      <c r="P25" s="109">
        <f>'ЦФУ Оборуд.'!$AI56</f>
        <v>0</v>
      </c>
      <c r="Q25" s="109"/>
      <c r="R25" s="109"/>
      <c r="S25" s="109">
        <f>'ЦФУ Оборуд.'!$AI69</f>
        <v>0</v>
      </c>
      <c r="T25" s="109"/>
      <c r="U25" s="109"/>
      <c r="V25" s="109">
        <f>'ЦФУ Оборуд.'!$AI82</f>
        <v>0</v>
      </c>
      <c r="W25" s="109"/>
      <c r="X25" s="109"/>
      <c r="Y25" s="109">
        <f>'ЦФУ Оборуд.'!$AI95</f>
        <v>0</v>
      </c>
      <c r="Z25" s="109"/>
      <c r="AA25" s="109"/>
      <c r="AB25" s="109">
        <f>'ЦФУ Оборуд.'!$AI108</f>
        <v>0</v>
      </c>
      <c r="AC25" s="109"/>
      <c r="AD25" s="109"/>
      <c r="AE25" s="109">
        <f>'ЦФУ Оборуд.'!$AI121</f>
        <v>0</v>
      </c>
      <c r="AF25" s="109"/>
      <c r="AG25" s="109"/>
      <c r="AH25" s="109">
        <f>'ЦФУ Оборуд.'!$AI134</f>
        <v>0</v>
      </c>
      <c r="AI25" s="109"/>
      <c r="AJ25" s="109"/>
      <c r="AK25" s="109">
        <f>'ЦФУ Оборуд.'!$AI147</f>
        <v>0</v>
      </c>
      <c r="AL25" s="109"/>
      <c r="AM25" s="109"/>
      <c r="AN25" s="67"/>
      <c r="AO25" s="109">
        <f>SUM(G25:AM25)</f>
        <v>0</v>
      </c>
      <c r="AP25" s="109"/>
      <c r="AQ25" s="109"/>
      <c r="AR25" s="109"/>
    </row>
    <row r="26" spans="1:44" ht="12.75">
      <c r="A26" s="110" t="s">
        <v>8</v>
      </c>
      <c r="B26" s="110"/>
      <c r="C26" s="110"/>
      <c r="D26" s="110"/>
      <c r="E26" s="110"/>
      <c r="F26" s="11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</row>
    <row r="27" spans="1:44" ht="12.75">
      <c r="A27" s="110" t="s">
        <v>250</v>
      </c>
      <c r="B27" s="110"/>
      <c r="C27" s="110"/>
      <c r="D27" s="110"/>
      <c r="E27" s="110"/>
      <c r="F27" s="110"/>
      <c r="G27" s="109">
        <f>'ЦФУ Текстиль'!$W7</f>
        <v>1</v>
      </c>
      <c r="H27" s="109"/>
      <c r="I27" s="109"/>
      <c r="J27" s="109">
        <f>'ЦФУ Текстиль'!$W20</f>
        <v>180</v>
      </c>
      <c r="K27" s="109"/>
      <c r="L27" s="109"/>
      <c r="M27" s="109">
        <f>'ЦФУ Текстиль'!$W33</f>
        <v>625</v>
      </c>
      <c r="N27" s="109"/>
      <c r="O27" s="109"/>
      <c r="P27" s="109">
        <f>'ЦФУ Текстиль'!$W46</f>
        <v>1260</v>
      </c>
      <c r="Q27" s="109"/>
      <c r="R27" s="109"/>
      <c r="S27" s="109">
        <f>'ЦФУ Текстиль'!$W59</f>
        <v>2200</v>
      </c>
      <c r="T27" s="109"/>
      <c r="U27" s="109"/>
      <c r="V27" s="109">
        <f>'ЦФУ Текстиль'!$W72</f>
        <v>3160</v>
      </c>
      <c r="W27" s="109"/>
      <c r="X27" s="109"/>
      <c r="Y27" s="109">
        <f>'ЦФУ Текстиль'!$W85</f>
        <v>4020</v>
      </c>
      <c r="Z27" s="109"/>
      <c r="AA27" s="109"/>
      <c r="AB27" s="109">
        <f>'ЦФУ Текстиль'!$W98</f>
        <v>4720</v>
      </c>
      <c r="AC27" s="109"/>
      <c r="AD27" s="109"/>
      <c r="AE27" s="109">
        <f>'ЦФУ Текстиль'!$W111</f>
        <v>5120</v>
      </c>
      <c r="AF27" s="109"/>
      <c r="AG27" s="109"/>
      <c r="AH27" s="109">
        <f>'ЦФУ Текстиль'!$W124</f>
        <v>5320</v>
      </c>
      <c r="AI27" s="109"/>
      <c r="AJ27" s="109"/>
      <c r="AK27" s="109">
        <f>'ЦФУ Текстиль'!$W137</f>
        <v>5320</v>
      </c>
      <c r="AL27" s="109"/>
      <c r="AM27" s="109"/>
      <c r="AN27" s="67"/>
      <c r="AO27" s="109">
        <f>SUM(G27:AM27)</f>
        <v>31926</v>
      </c>
      <c r="AP27" s="109"/>
      <c r="AQ27" s="109"/>
      <c r="AR27" s="109"/>
    </row>
    <row r="28" spans="1:44" ht="12.75">
      <c r="A28" s="110" t="s">
        <v>75</v>
      </c>
      <c r="B28" s="110"/>
      <c r="C28" s="110"/>
      <c r="D28" s="110"/>
      <c r="E28" s="110"/>
      <c r="F28" s="110"/>
      <c r="G28" s="109">
        <f>'ЦФУ Текстиль'!$W8</f>
        <v>0</v>
      </c>
      <c r="H28" s="109"/>
      <c r="I28" s="109"/>
      <c r="J28" s="109">
        <f>'ЦФУ Текстиль'!$W21</f>
        <v>180</v>
      </c>
      <c r="K28" s="109"/>
      <c r="L28" s="109"/>
      <c r="M28" s="109">
        <f>'ЦФУ Текстиль'!$W34</f>
        <v>625</v>
      </c>
      <c r="N28" s="109"/>
      <c r="O28" s="109"/>
      <c r="P28" s="109">
        <f>'ЦФУ Текстиль'!$W47</f>
        <v>1260</v>
      </c>
      <c r="Q28" s="109"/>
      <c r="R28" s="109"/>
      <c r="S28" s="109">
        <f>'ЦФУ Текстиль'!$W60</f>
        <v>2200</v>
      </c>
      <c r="T28" s="109"/>
      <c r="U28" s="109"/>
      <c r="V28" s="109">
        <f>'ЦФУ Текстиль'!$W73</f>
        <v>3160</v>
      </c>
      <c r="W28" s="109"/>
      <c r="X28" s="109"/>
      <c r="Y28" s="109">
        <f>'ЦФУ Текстиль'!$W86</f>
        <v>4020</v>
      </c>
      <c r="Z28" s="109"/>
      <c r="AA28" s="109"/>
      <c r="AB28" s="109">
        <f>'ЦФУ Текстиль'!$W99</f>
        <v>4720</v>
      </c>
      <c r="AC28" s="109"/>
      <c r="AD28" s="109"/>
      <c r="AE28" s="109">
        <f>'ЦФУ Текстиль'!$W112</f>
        <v>5120</v>
      </c>
      <c r="AF28" s="109"/>
      <c r="AG28" s="109"/>
      <c r="AH28" s="109">
        <f>'ЦФУ Текстиль'!$W125</f>
        <v>5320</v>
      </c>
      <c r="AI28" s="109"/>
      <c r="AJ28" s="109"/>
      <c r="AK28" s="109">
        <f>'ЦФУ Текстиль'!$W138</f>
        <v>5320</v>
      </c>
      <c r="AL28" s="109"/>
      <c r="AM28" s="109"/>
      <c r="AN28" s="67"/>
      <c r="AO28" s="109">
        <f aca="true" t="shared" si="2" ref="AO28:AO34">SUM(G28:AM28)</f>
        <v>31925</v>
      </c>
      <c r="AP28" s="109"/>
      <c r="AQ28" s="109"/>
      <c r="AR28" s="109"/>
    </row>
    <row r="29" spans="1:44" ht="12.75">
      <c r="A29" s="110" t="s">
        <v>25</v>
      </c>
      <c r="B29" s="110"/>
      <c r="C29" s="110"/>
      <c r="D29" s="110"/>
      <c r="E29" s="110"/>
      <c r="F29" s="110"/>
      <c r="G29" s="109">
        <f>'ЦФУ Текстиль'!$W19</f>
        <v>8</v>
      </c>
      <c r="H29" s="109"/>
      <c r="I29" s="109"/>
      <c r="J29" s="109">
        <f>'ЦФУ Текстиль'!$W32</f>
        <v>10.7</v>
      </c>
      <c r="K29" s="109"/>
      <c r="L29" s="109"/>
      <c r="M29" s="109">
        <f>'ЦФУ Текстиль'!$W45</f>
        <v>22.575</v>
      </c>
      <c r="N29" s="109"/>
      <c r="O29" s="109"/>
      <c r="P29" s="109">
        <f>'ЦФУ Текстиль'!$W58</f>
        <v>35.900000000000006</v>
      </c>
      <c r="Q29" s="109"/>
      <c r="R29" s="109"/>
      <c r="S29" s="109">
        <f>'ЦФУ Текстиль'!$W71</f>
        <v>65</v>
      </c>
      <c r="T29" s="109"/>
      <c r="U29" s="109"/>
      <c r="V29" s="109">
        <f>'ЦФУ Текстиль'!$W84</f>
        <v>57.39999999999999</v>
      </c>
      <c r="W29" s="109"/>
      <c r="X29" s="109"/>
      <c r="Y29" s="109">
        <f>'ЦФУ Текстиль'!$W97</f>
        <v>67.5</v>
      </c>
      <c r="Z29" s="109"/>
      <c r="AA29" s="109"/>
      <c r="AB29" s="109">
        <f>'ЦФУ Текстиль'!$W110</f>
        <v>75.19999999999999</v>
      </c>
      <c r="AC29" s="109"/>
      <c r="AD29" s="109"/>
      <c r="AE29" s="109">
        <f>'ЦФУ Текстиль'!$W123</f>
        <v>81.19999999999999</v>
      </c>
      <c r="AF29" s="109"/>
      <c r="AG29" s="109"/>
      <c r="AH29" s="109">
        <f>'ЦФУ Текстиль'!$W136</f>
        <v>84.19999999999999</v>
      </c>
      <c r="AI29" s="109"/>
      <c r="AJ29" s="109"/>
      <c r="AK29" s="109">
        <f>'ЦФУ Текстиль'!$W149</f>
        <v>84.19999999999999</v>
      </c>
      <c r="AL29" s="109"/>
      <c r="AM29" s="109"/>
      <c r="AN29" s="67"/>
      <c r="AO29" s="109">
        <f t="shared" si="2"/>
        <v>591.875</v>
      </c>
      <c r="AP29" s="109"/>
      <c r="AQ29" s="109"/>
      <c r="AR29" s="109"/>
    </row>
    <row r="30" spans="1:44" ht="12.75">
      <c r="A30" s="111" t="s">
        <v>77</v>
      </c>
      <c r="B30" s="111"/>
      <c r="C30" s="111"/>
      <c r="D30" s="111"/>
      <c r="E30" s="111"/>
      <c r="F30" s="111"/>
      <c r="G30" s="109">
        <f>'ЦФУ Текстиль'!$W13</f>
        <v>20</v>
      </c>
      <c r="H30" s="109"/>
      <c r="I30" s="109"/>
      <c r="J30" s="109">
        <f>'ЦФУ Текстиль'!$W26</f>
        <v>40</v>
      </c>
      <c r="K30" s="109"/>
      <c r="L30" s="109"/>
      <c r="M30" s="109">
        <f>'ЦФУ Текстиль'!$W39</f>
        <v>60</v>
      </c>
      <c r="N30" s="109"/>
      <c r="O30" s="109"/>
      <c r="P30" s="109">
        <f>'ЦФУ Текстиль'!$W52</f>
        <v>80</v>
      </c>
      <c r="Q30" s="109"/>
      <c r="R30" s="109"/>
      <c r="S30" s="109">
        <f>'ЦФУ Текстиль'!$W65</f>
        <v>80</v>
      </c>
      <c r="T30" s="109"/>
      <c r="U30" s="109"/>
      <c r="V30" s="109">
        <f>'ЦФУ Текстиль'!$W78</f>
        <v>80</v>
      </c>
      <c r="W30" s="109"/>
      <c r="X30" s="109"/>
      <c r="Y30" s="109">
        <f>'ЦФУ Текстиль'!$W91</f>
        <v>80</v>
      </c>
      <c r="Z30" s="109"/>
      <c r="AA30" s="109"/>
      <c r="AB30" s="109">
        <f>'ЦФУ Текстиль'!$W104</f>
        <v>80</v>
      </c>
      <c r="AC30" s="109"/>
      <c r="AD30" s="109"/>
      <c r="AE30" s="109">
        <f>'ЦФУ Текстиль'!$W117</f>
        <v>80</v>
      </c>
      <c r="AF30" s="109"/>
      <c r="AG30" s="109"/>
      <c r="AH30" s="109">
        <f>'ЦФУ Текстиль'!$W130</f>
        <v>80</v>
      </c>
      <c r="AI30" s="109"/>
      <c r="AJ30" s="109"/>
      <c r="AK30" s="109">
        <f>'ЦФУ Текстиль'!$W143</f>
        <v>80</v>
      </c>
      <c r="AL30" s="109"/>
      <c r="AM30" s="109"/>
      <c r="AN30" s="67"/>
      <c r="AO30" s="109">
        <f t="shared" si="2"/>
        <v>760</v>
      </c>
      <c r="AP30" s="109"/>
      <c r="AQ30" s="109"/>
      <c r="AR30" s="109"/>
    </row>
    <row r="31" spans="1:44" ht="12.75">
      <c r="A31" s="111" t="s">
        <v>78</v>
      </c>
      <c r="B31" s="111"/>
      <c r="C31" s="111"/>
      <c r="D31" s="111"/>
      <c r="E31" s="111"/>
      <c r="F31" s="111"/>
      <c r="G31" s="109">
        <f>G29+G30</f>
        <v>28</v>
      </c>
      <c r="H31" s="109"/>
      <c r="I31" s="109"/>
      <c r="J31" s="109">
        <f>J29+J30</f>
        <v>50.7</v>
      </c>
      <c r="K31" s="109"/>
      <c r="L31" s="109"/>
      <c r="M31" s="109">
        <f>M29+M30</f>
        <v>82.575</v>
      </c>
      <c r="N31" s="109"/>
      <c r="O31" s="109"/>
      <c r="P31" s="109">
        <f>P29+P30</f>
        <v>115.9</v>
      </c>
      <c r="Q31" s="109"/>
      <c r="R31" s="109"/>
      <c r="S31" s="109">
        <f>S29+S30</f>
        <v>145</v>
      </c>
      <c r="T31" s="109"/>
      <c r="U31" s="109"/>
      <c r="V31" s="109">
        <f>V29+V30</f>
        <v>137.39999999999998</v>
      </c>
      <c r="W31" s="109"/>
      <c r="X31" s="109"/>
      <c r="Y31" s="109">
        <f>Y29+Y30</f>
        <v>147.5</v>
      </c>
      <c r="Z31" s="109"/>
      <c r="AA31" s="109"/>
      <c r="AB31" s="109">
        <f>AB29+AB30</f>
        <v>155.2</v>
      </c>
      <c r="AC31" s="109"/>
      <c r="AD31" s="109"/>
      <c r="AE31" s="109">
        <f>AE29+AE30</f>
        <v>161.2</v>
      </c>
      <c r="AF31" s="109"/>
      <c r="AG31" s="109"/>
      <c r="AH31" s="109">
        <f>AH29+AH30</f>
        <v>164.2</v>
      </c>
      <c r="AI31" s="109"/>
      <c r="AJ31" s="109"/>
      <c r="AK31" s="109">
        <f>AK29+AK30</f>
        <v>164.2</v>
      </c>
      <c r="AL31" s="109"/>
      <c r="AM31" s="109"/>
      <c r="AN31" s="67"/>
      <c r="AO31" s="109">
        <f t="shared" si="2"/>
        <v>1351.8750000000002</v>
      </c>
      <c r="AP31" s="109"/>
      <c r="AQ31" s="109"/>
      <c r="AR31" s="109"/>
    </row>
    <row r="32" spans="1:44" ht="12.75">
      <c r="A32" s="113" t="s">
        <v>252</v>
      </c>
      <c r="B32" s="114"/>
      <c r="C32" s="114"/>
      <c r="D32" s="114"/>
      <c r="E32" s="114"/>
      <c r="F32" s="114"/>
      <c r="G32" s="109">
        <f>G27*$A$1/100</f>
        <v>0.03455263157894737</v>
      </c>
      <c r="H32" s="109"/>
      <c r="I32" s="109"/>
      <c r="J32" s="109">
        <f>J27*$A$1/100</f>
        <v>6.219473684210526</v>
      </c>
      <c r="K32" s="109"/>
      <c r="L32" s="109"/>
      <c r="M32" s="109">
        <f>M27*$A$1/100</f>
        <v>21.595394736842103</v>
      </c>
      <c r="N32" s="109"/>
      <c r="O32" s="109"/>
      <c r="P32" s="109">
        <f>P27*$A$1/100</f>
        <v>43.53631578947368</v>
      </c>
      <c r="Q32" s="109"/>
      <c r="R32" s="109"/>
      <c r="S32" s="109">
        <f>S27*$A$1/100</f>
        <v>76.01578947368421</v>
      </c>
      <c r="T32" s="109"/>
      <c r="U32" s="109"/>
      <c r="V32" s="109">
        <f>V27*$A$1/100</f>
        <v>109.18631578947368</v>
      </c>
      <c r="W32" s="109"/>
      <c r="X32" s="109"/>
      <c r="Y32" s="109">
        <f>Y27*$A$1/100</f>
        <v>138.90157894736842</v>
      </c>
      <c r="Z32" s="109"/>
      <c r="AA32" s="109"/>
      <c r="AB32" s="109">
        <f>AB27*$A$1/100</f>
        <v>163.0884210526316</v>
      </c>
      <c r="AC32" s="109"/>
      <c r="AD32" s="109"/>
      <c r="AE32" s="109">
        <f>AE27*$A$1/100</f>
        <v>176.90947368421052</v>
      </c>
      <c r="AF32" s="109"/>
      <c r="AG32" s="109"/>
      <c r="AH32" s="109">
        <f>AH27*$A$1/100</f>
        <v>183.82</v>
      </c>
      <c r="AI32" s="109"/>
      <c r="AJ32" s="109"/>
      <c r="AK32" s="109">
        <f>AK27*$A$1/100</f>
        <v>183.82</v>
      </c>
      <c r="AL32" s="109"/>
      <c r="AM32" s="109"/>
      <c r="AN32" s="67"/>
      <c r="AO32" s="109">
        <f>SUM(G32:AM32)</f>
        <v>1103.1273157894736</v>
      </c>
      <c r="AP32" s="109"/>
      <c r="AQ32" s="109"/>
      <c r="AR32" s="109"/>
    </row>
    <row r="33" spans="1:44" ht="12.75">
      <c r="A33" s="113" t="s">
        <v>251</v>
      </c>
      <c r="B33" s="114"/>
      <c r="C33" s="114"/>
      <c r="D33" s="114"/>
      <c r="E33" s="114"/>
      <c r="F33" s="114"/>
      <c r="G33" s="109">
        <f>G28*$A$1/100</f>
        <v>0</v>
      </c>
      <c r="H33" s="109"/>
      <c r="I33" s="109"/>
      <c r="J33" s="109">
        <f>J28*$A$1/100</f>
        <v>6.219473684210526</v>
      </c>
      <c r="K33" s="109"/>
      <c r="L33" s="109"/>
      <c r="M33" s="109">
        <f>M28*$A$1/100</f>
        <v>21.595394736842103</v>
      </c>
      <c r="N33" s="109"/>
      <c r="O33" s="109"/>
      <c r="P33" s="109">
        <f>P28*$A$1/100</f>
        <v>43.53631578947368</v>
      </c>
      <c r="Q33" s="109"/>
      <c r="R33" s="109"/>
      <c r="S33" s="109">
        <f>S28*$A$1/100</f>
        <v>76.01578947368421</v>
      </c>
      <c r="T33" s="109"/>
      <c r="U33" s="109"/>
      <c r="V33" s="109">
        <f>V28*$A$1/100</f>
        <v>109.18631578947368</v>
      </c>
      <c r="W33" s="109"/>
      <c r="X33" s="109"/>
      <c r="Y33" s="109">
        <f>Y28*$A$1/100</f>
        <v>138.90157894736842</v>
      </c>
      <c r="Z33" s="109"/>
      <c r="AA33" s="109"/>
      <c r="AB33" s="109">
        <f>AB28*$A$1/100</f>
        <v>163.0884210526316</v>
      </c>
      <c r="AC33" s="109"/>
      <c r="AD33" s="109"/>
      <c r="AE33" s="109">
        <f>AE28*$A$1/100</f>
        <v>176.90947368421052</v>
      </c>
      <c r="AF33" s="109"/>
      <c r="AG33" s="109"/>
      <c r="AH33" s="109">
        <f>AH28*$A$1/100</f>
        <v>183.82</v>
      </c>
      <c r="AI33" s="109"/>
      <c r="AJ33" s="109"/>
      <c r="AK33" s="109">
        <f>AK28*$A$1/100</f>
        <v>183.82</v>
      </c>
      <c r="AL33" s="109"/>
      <c r="AM33" s="109"/>
      <c r="AN33" s="67"/>
      <c r="AO33" s="109">
        <f t="shared" si="2"/>
        <v>1103.0927631578945</v>
      </c>
      <c r="AP33" s="109"/>
      <c r="AQ33" s="109"/>
      <c r="AR33" s="109"/>
    </row>
    <row r="34" spans="1:44" ht="12" customHeight="1">
      <c r="A34" s="111" t="s">
        <v>76</v>
      </c>
      <c r="B34" s="111"/>
      <c r="C34" s="111"/>
      <c r="D34" s="111"/>
      <c r="E34" s="111"/>
      <c r="F34" s="111"/>
      <c r="G34" s="109">
        <f>'ЦФУ Текстиль'!$AG9</f>
        <v>27.978947368421053</v>
      </c>
      <c r="H34" s="109"/>
      <c r="I34" s="109"/>
      <c r="J34" s="109">
        <f>'ЦФУ Текстиль'!$AG22</f>
        <v>52.21052631578949</v>
      </c>
      <c r="K34" s="109"/>
      <c r="L34" s="109"/>
      <c r="M34" s="109">
        <f>'ЦФУ Текстиль'!$AG35</f>
        <v>70.84210526315789</v>
      </c>
      <c r="N34" s="109"/>
      <c r="O34" s="109"/>
      <c r="P34" s="109">
        <f>'ЦФУ Текстиль'!$AG48</f>
        <v>85.47368421052633</v>
      </c>
      <c r="Q34" s="109"/>
      <c r="R34" s="109"/>
      <c r="S34" s="109">
        <f>'ЦФУ Текстиль'!$AG61</f>
        <v>65.6842105263158</v>
      </c>
      <c r="T34" s="109"/>
      <c r="U34" s="109"/>
      <c r="V34" s="109">
        <f>'ЦФУ Текстиль'!$AG74</f>
        <v>45.47368421052633</v>
      </c>
      <c r="W34" s="109"/>
      <c r="X34" s="109"/>
      <c r="Y34" s="109">
        <f>'ЦФУ Текстиль'!$AG87</f>
        <v>27.368421052631575</v>
      </c>
      <c r="Z34" s="109"/>
      <c r="AA34" s="109"/>
      <c r="AB34" s="109">
        <f>'ЦФУ Текстиль'!$AG100</f>
        <v>12.631578947368421</v>
      </c>
      <c r="AC34" s="109"/>
      <c r="AD34" s="109"/>
      <c r="AE34" s="109">
        <f>'ЦФУ Текстиль'!$AG113</f>
        <v>4.21052631578948</v>
      </c>
      <c r="AF34" s="109"/>
      <c r="AG34" s="109"/>
      <c r="AH34" s="109">
        <f>'ЦФУ Текстиль'!$AG126</f>
        <v>0</v>
      </c>
      <c r="AI34" s="109"/>
      <c r="AJ34" s="109"/>
      <c r="AK34" s="109">
        <f>'ЦФУ Текстиль'!$AG139</f>
        <v>0</v>
      </c>
      <c r="AL34" s="109"/>
      <c r="AM34" s="109"/>
      <c r="AN34" s="67"/>
      <c r="AO34" s="109">
        <f t="shared" si="2"/>
        <v>391.87368421052633</v>
      </c>
      <c r="AP34" s="109"/>
      <c r="AQ34" s="109"/>
      <c r="AR34" s="109"/>
    </row>
    <row r="35" spans="1:44" ht="12" customHeight="1">
      <c r="A35" s="111" t="s">
        <v>224</v>
      </c>
      <c r="B35" s="111"/>
      <c r="C35" s="111"/>
      <c r="D35" s="111"/>
      <c r="E35" s="111"/>
      <c r="F35" s="111"/>
      <c r="G35" s="109">
        <f>'ЦФУ Текстиль'!$AG11</f>
        <v>-28</v>
      </c>
      <c r="H35" s="109"/>
      <c r="I35" s="109"/>
      <c r="J35" s="109">
        <f>'ЦФУ Текстиль'!$AG24</f>
        <v>-52.21052631578949</v>
      </c>
      <c r="K35" s="109"/>
      <c r="L35" s="109"/>
      <c r="M35" s="109">
        <f>'ЦФУ Текстиль'!$AG37</f>
        <v>-70.84210526315789</v>
      </c>
      <c r="N35" s="109"/>
      <c r="O35" s="109"/>
      <c r="P35" s="109">
        <f>'ЦФУ Текстиль'!$AG50</f>
        <v>-85.47368421052633</v>
      </c>
      <c r="Q35" s="109"/>
      <c r="R35" s="109"/>
      <c r="S35" s="109">
        <f>'ЦФУ Текстиль'!$AG63</f>
        <v>-65.6842105263158</v>
      </c>
      <c r="T35" s="109"/>
      <c r="U35" s="109"/>
      <c r="V35" s="109">
        <f>'ЦФУ Текстиль'!$AG76</f>
        <v>-45.47368421052633</v>
      </c>
      <c r="W35" s="109"/>
      <c r="X35" s="109"/>
      <c r="Y35" s="109">
        <f>'ЦФУ Текстиль'!$AG89</f>
        <v>-27.368421052631575</v>
      </c>
      <c r="Z35" s="109"/>
      <c r="AA35" s="109"/>
      <c r="AB35" s="109">
        <f>'ЦФУ Текстиль'!$AG102</f>
        <v>-12.631578947368421</v>
      </c>
      <c r="AC35" s="109"/>
      <c r="AD35" s="109"/>
      <c r="AE35" s="109">
        <f>'ЦФУ Текстиль'!$AG115</f>
        <v>-4.210526315789469</v>
      </c>
      <c r="AF35" s="109"/>
      <c r="AG35" s="109"/>
      <c r="AH35" s="109">
        <f>'ЦФУ Текстиль'!$AG128</f>
        <v>3.552713678800501E-15</v>
      </c>
      <c r="AI35" s="109"/>
      <c r="AJ35" s="109"/>
      <c r="AK35" s="109">
        <f>'ЦФУ Текстиль'!$AG141</f>
        <v>3.552713678800501E-15</v>
      </c>
      <c r="AL35" s="109"/>
      <c r="AM35" s="109"/>
      <c r="AN35" s="67"/>
      <c r="AO35" s="109">
        <f>SUM(G35:AM35)</f>
        <v>-391.8947368421053</v>
      </c>
      <c r="AP35" s="109"/>
      <c r="AQ35" s="109"/>
      <c r="AR35" s="109"/>
    </row>
    <row r="36" spans="1:44" ht="12.75">
      <c r="A36" s="111" t="s">
        <v>253</v>
      </c>
      <c r="B36" s="111"/>
      <c r="C36" s="111"/>
      <c r="D36" s="111"/>
      <c r="E36" s="111"/>
      <c r="F36" s="111"/>
      <c r="G36" s="109">
        <f>G34+G35</f>
        <v>-0.021052631578946546</v>
      </c>
      <c r="H36" s="109"/>
      <c r="I36" s="109"/>
      <c r="J36" s="109">
        <f>J34+J35</f>
        <v>0</v>
      </c>
      <c r="K36" s="109"/>
      <c r="L36" s="109"/>
      <c r="M36" s="109">
        <f>M34+M35</f>
        <v>0</v>
      </c>
      <c r="N36" s="109"/>
      <c r="O36" s="109"/>
      <c r="P36" s="109">
        <f>P34+P35</f>
        <v>0</v>
      </c>
      <c r="Q36" s="109"/>
      <c r="R36" s="109"/>
      <c r="S36" s="109">
        <f>S34+S35</f>
        <v>0</v>
      </c>
      <c r="T36" s="109"/>
      <c r="U36" s="109"/>
      <c r="V36" s="109">
        <f>V34+V35</f>
        <v>0</v>
      </c>
      <c r="W36" s="109"/>
      <c r="X36" s="109"/>
      <c r="Y36" s="109">
        <f>Y34+Y35</f>
        <v>0</v>
      </c>
      <c r="Z36" s="109"/>
      <c r="AA36" s="109"/>
      <c r="AB36" s="109">
        <f>AB34+AB35</f>
        <v>0</v>
      </c>
      <c r="AC36" s="109"/>
      <c r="AD36" s="109"/>
      <c r="AE36" s="109">
        <f>AE34+AE35</f>
        <v>1.0658141036401503E-14</v>
      </c>
      <c r="AF36" s="109"/>
      <c r="AG36" s="109"/>
      <c r="AH36" s="109">
        <f>AH34+AH35</f>
        <v>3.552713678800501E-15</v>
      </c>
      <c r="AI36" s="109"/>
      <c r="AJ36" s="109"/>
      <c r="AK36" s="109">
        <f>AK34+AK35</f>
        <v>3.552713678800501E-15</v>
      </c>
      <c r="AL36" s="109"/>
      <c r="AM36" s="109"/>
      <c r="AN36" s="67"/>
      <c r="AO36" s="109">
        <f>SUM(G36:AM36)</f>
        <v>-0.021052631578928782</v>
      </c>
      <c r="AP36" s="109"/>
      <c r="AQ36" s="109"/>
      <c r="AR36" s="109"/>
    </row>
    <row r="37" spans="1:44" ht="12.75">
      <c r="A37" s="111" t="s">
        <v>270</v>
      </c>
      <c r="B37" s="111"/>
      <c r="C37" s="111"/>
      <c r="D37" s="111"/>
      <c r="E37" s="111"/>
      <c r="F37" s="111"/>
      <c r="G37" s="109">
        <f>'ЦФУ Текстиль'!$AI17</f>
        <v>0</v>
      </c>
      <c r="H37" s="109"/>
      <c r="I37" s="109"/>
      <c r="J37" s="109">
        <f>'ЦФУ Текстиль'!$AI30</f>
        <v>0</v>
      </c>
      <c r="K37" s="109"/>
      <c r="L37" s="109"/>
      <c r="M37" s="109">
        <f>'ЦФУ Текстиль'!$AI43</f>
        <v>0</v>
      </c>
      <c r="N37" s="109"/>
      <c r="O37" s="109"/>
      <c r="P37" s="109">
        <f>'ЦФУ Текстиль'!$AI56</f>
        <v>0</v>
      </c>
      <c r="Q37" s="109"/>
      <c r="R37" s="109"/>
      <c r="S37" s="109">
        <f>'ЦФУ Текстиль'!$AI69</f>
        <v>0</v>
      </c>
      <c r="T37" s="109"/>
      <c r="U37" s="109"/>
      <c r="V37" s="109">
        <f>'ЦФУ Текстиль'!$AI82</f>
        <v>0</v>
      </c>
      <c r="W37" s="109"/>
      <c r="X37" s="109"/>
      <c r="Y37" s="109">
        <f>'ЦФУ Текстиль'!$AI95</f>
        <v>0</v>
      </c>
      <c r="Z37" s="109"/>
      <c r="AA37" s="109"/>
      <c r="AB37" s="109">
        <f>'ЦФУ Текстиль'!$AI108</f>
        <v>0</v>
      </c>
      <c r="AC37" s="109"/>
      <c r="AD37" s="109"/>
      <c r="AE37" s="109">
        <f>'ЦФУ Текстиль'!$AI121</f>
        <v>0</v>
      </c>
      <c r="AF37" s="109"/>
      <c r="AG37" s="109"/>
      <c r="AH37" s="109">
        <f>'ЦФУ Текстиль'!$AI134</f>
        <v>0</v>
      </c>
      <c r="AI37" s="109"/>
      <c r="AJ37" s="109"/>
      <c r="AK37" s="109">
        <f>'ЦФУ Текстиль'!$AI147</f>
        <v>0</v>
      </c>
      <c r="AL37" s="109"/>
      <c r="AM37" s="109"/>
      <c r="AN37" s="67"/>
      <c r="AO37" s="109">
        <f>SUM(G37:AM37)</f>
        <v>0</v>
      </c>
      <c r="AP37" s="109"/>
      <c r="AQ37" s="109"/>
      <c r="AR37" s="109"/>
    </row>
    <row r="38" spans="1:44" ht="12.75">
      <c r="A38" s="110" t="s">
        <v>79</v>
      </c>
      <c r="B38" s="110"/>
      <c r="C38" s="110"/>
      <c r="D38" s="110"/>
      <c r="E38" s="110"/>
      <c r="F38" s="110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</row>
    <row r="39" spans="1:46" ht="12.75">
      <c r="A39" s="110" t="s">
        <v>250</v>
      </c>
      <c r="B39" s="110"/>
      <c r="C39" s="110"/>
      <c r="D39" s="110"/>
      <c r="E39" s="110"/>
      <c r="F39" s="110"/>
      <c r="G39" s="109">
        <f>G3+G15+G27</f>
        <v>2181</v>
      </c>
      <c r="H39" s="109"/>
      <c r="I39" s="109"/>
      <c r="J39" s="109">
        <f>J3+J15+J27</f>
        <v>4000</v>
      </c>
      <c r="K39" s="109"/>
      <c r="L39" s="109"/>
      <c r="M39" s="109">
        <f>M3+M15+M27</f>
        <v>5905</v>
      </c>
      <c r="N39" s="109"/>
      <c r="O39" s="109"/>
      <c r="P39" s="109">
        <f>P3+P15+P27</f>
        <v>8280</v>
      </c>
      <c r="Q39" s="109"/>
      <c r="R39" s="109"/>
      <c r="S39" s="109">
        <f>S3+S15+S27</f>
        <v>10940</v>
      </c>
      <c r="T39" s="109"/>
      <c r="U39" s="109"/>
      <c r="V39" s="109">
        <f>V3+V15+V27</f>
        <v>13000</v>
      </c>
      <c r="W39" s="109"/>
      <c r="X39" s="109"/>
      <c r="Y39" s="109">
        <f>Y3+Y15+Y27</f>
        <v>14460</v>
      </c>
      <c r="Z39" s="109"/>
      <c r="AA39" s="109"/>
      <c r="AB39" s="109">
        <f>AB3+AB15+AB27</f>
        <v>15360</v>
      </c>
      <c r="AC39" s="109"/>
      <c r="AD39" s="109"/>
      <c r="AE39" s="109">
        <f>AE3+AE15+AE27</f>
        <v>15760</v>
      </c>
      <c r="AF39" s="109"/>
      <c r="AG39" s="109"/>
      <c r="AH39" s="109">
        <f>AH3+AH15+AH27</f>
        <v>15960</v>
      </c>
      <c r="AI39" s="109"/>
      <c r="AJ39" s="109"/>
      <c r="AK39" s="109">
        <f>AK3+AK15+AK27</f>
        <v>15960</v>
      </c>
      <c r="AL39" s="109"/>
      <c r="AM39" s="109"/>
      <c r="AN39" s="67"/>
      <c r="AO39" s="109">
        <f>SUM(G39:AM39)</f>
        <v>121806</v>
      </c>
      <c r="AP39" s="109"/>
      <c r="AQ39" s="109"/>
      <c r="AR39" s="109"/>
      <c r="AS39" s="67"/>
      <c r="AT39" s="67"/>
    </row>
    <row r="40" spans="1:46" ht="12.75">
      <c r="A40" s="110" t="s">
        <v>75</v>
      </c>
      <c r="B40" s="110"/>
      <c r="C40" s="110"/>
      <c r="D40" s="110"/>
      <c r="E40" s="110"/>
      <c r="F40" s="110"/>
      <c r="G40" s="109">
        <f>G4+G16+G28</f>
        <v>2180</v>
      </c>
      <c r="H40" s="109"/>
      <c r="I40" s="109"/>
      <c r="J40" s="109">
        <f>J4+J16+J28</f>
        <v>4000</v>
      </c>
      <c r="K40" s="109"/>
      <c r="L40" s="109"/>
      <c r="M40" s="109">
        <f>M4+M16+M28</f>
        <v>5905</v>
      </c>
      <c r="N40" s="109"/>
      <c r="O40" s="109"/>
      <c r="P40" s="109">
        <f>P4+P16+P28</f>
        <v>8280</v>
      </c>
      <c r="Q40" s="109"/>
      <c r="R40" s="109"/>
      <c r="S40" s="109">
        <f>S4+S16+S28</f>
        <v>10940</v>
      </c>
      <c r="T40" s="109"/>
      <c r="U40" s="109"/>
      <c r="V40" s="109">
        <f>V4+V16+V28</f>
        <v>13000</v>
      </c>
      <c r="W40" s="109"/>
      <c r="X40" s="109"/>
      <c r="Y40" s="109">
        <f>Y4+Y16+Y28</f>
        <v>14460</v>
      </c>
      <c r="Z40" s="109"/>
      <c r="AA40" s="109"/>
      <c r="AB40" s="109">
        <f>AB4+AB16+AB28</f>
        <v>15360</v>
      </c>
      <c r="AC40" s="109"/>
      <c r="AD40" s="109"/>
      <c r="AE40" s="109">
        <f>AE4+AE16+AE28</f>
        <v>15760</v>
      </c>
      <c r="AF40" s="109"/>
      <c r="AG40" s="109"/>
      <c r="AH40" s="109">
        <f>AH4+AH16+AH28</f>
        <v>15960</v>
      </c>
      <c r="AI40" s="109"/>
      <c r="AJ40" s="109"/>
      <c r="AK40" s="109">
        <f>AK4+AK16+AK28</f>
        <v>18340</v>
      </c>
      <c r="AL40" s="109"/>
      <c r="AM40" s="109"/>
      <c r="AN40" s="67"/>
      <c r="AO40" s="109">
        <f>SUM(G40:AM40)</f>
        <v>124185</v>
      </c>
      <c r="AP40" s="109"/>
      <c r="AQ40" s="109"/>
      <c r="AR40" s="109"/>
      <c r="AS40" s="67"/>
      <c r="AT40" s="67"/>
    </row>
    <row r="41" spans="1:46" ht="12.75">
      <c r="A41" s="110" t="s">
        <v>237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09">
        <f>Y40-1400</f>
        <v>13060</v>
      </c>
      <c r="Z41" s="109"/>
      <c r="AA41" s="109"/>
      <c r="AB41" s="109">
        <f>AB40-1400</f>
        <v>13960</v>
      </c>
      <c r="AC41" s="109"/>
      <c r="AD41" s="109"/>
      <c r="AE41" s="109">
        <f>AE40-1400</f>
        <v>14360</v>
      </c>
      <c r="AF41" s="109"/>
      <c r="AG41" s="109"/>
      <c r="AH41" s="109">
        <f>AH40-1400</f>
        <v>14560</v>
      </c>
      <c r="AI41" s="109"/>
      <c r="AJ41" s="109"/>
      <c r="AK41" s="109">
        <f>AK40-1400</f>
        <v>16940</v>
      </c>
      <c r="AL41" s="109"/>
      <c r="AM41" s="109"/>
      <c r="AN41" s="67"/>
      <c r="AO41" s="109"/>
      <c r="AP41" s="109"/>
      <c r="AQ41" s="109"/>
      <c r="AR41" s="109"/>
      <c r="AS41" s="67"/>
      <c r="AT41" s="67"/>
    </row>
    <row r="42" spans="7:46" ht="12.75">
      <c r="G42" s="109">
        <f>G40</f>
        <v>2180</v>
      </c>
      <c r="H42" s="109"/>
      <c r="I42" s="109"/>
      <c r="J42" s="109">
        <f>J40</f>
        <v>4000</v>
      </c>
      <c r="K42" s="109"/>
      <c r="L42" s="109"/>
      <c r="M42" s="109">
        <f>M40</f>
        <v>5905</v>
      </c>
      <c r="N42" s="109"/>
      <c r="O42" s="109"/>
      <c r="P42" s="109">
        <f>P40</f>
        <v>8280</v>
      </c>
      <c r="Q42" s="109"/>
      <c r="R42" s="109"/>
      <c r="S42" s="109">
        <f>S40</f>
        <v>10940</v>
      </c>
      <c r="T42" s="109"/>
      <c r="U42" s="109"/>
      <c r="V42" s="109">
        <f>V40</f>
        <v>13000</v>
      </c>
      <c r="W42" s="109"/>
      <c r="X42" s="109"/>
      <c r="Y42" s="109">
        <f>Y41</f>
        <v>13060</v>
      </c>
      <c r="Z42" s="109"/>
      <c r="AA42" s="109"/>
      <c r="AB42" s="109">
        <f>AB41</f>
        <v>13960</v>
      </c>
      <c r="AC42" s="109"/>
      <c r="AD42" s="109"/>
      <c r="AE42" s="109">
        <f>AE41</f>
        <v>14360</v>
      </c>
      <c r="AF42" s="109"/>
      <c r="AG42" s="109"/>
      <c r="AH42" s="109">
        <f>AH41</f>
        <v>14560</v>
      </c>
      <c r="AI42" s="109"/>
      <c r="AJ42" s="109"/>
      <c r="AK42" s="109">
        <f>AK41</f>
        <v>16940</v>
      </c>
      <c r="AL42" s="109"/>
      <c r="AM42" s="109"/>
      <c r="AN42" s="67"/>
      <c r="AO42" s="109">
        <f aca="true" t="shared" si="3" ref="AO42:AO48">SUM(G42:AM42)</f>
        <v>117185</v>
      </c>
      <c r="AP42" s="109"/>
      <c r="AQ42" s="109"/>
      <c r="AR42" s="109"/>
      <c r="AS42" s="67"/>
      <c r="AT42" s="67"/>
    </row>
    <row r="43" spans="1:46" ht="12.75">
      <c r="A43" s="110" t="s">
        <v>25</v>
      </c>
      <c r="B43" s="110"/>
      <c r="C43" s="110"/>
      <c r="D43" s="110"/>
      <c r="E43" s="110"/>
      <c r="F43" s="110"/>
      <c r="G43" s="109">
        <f aca="true" t="shared" si="4" ref="G43:G49">G5+G17+G29</f>
        <v>114.1</v>
      </c>
      <c r="H43" s="109"/>
      <c r="I43" s="109"/>
      <c r="J43" s="109">
        <f aca="true" t="shared" si="5" ref="J43:J49">J5+J17+J29</f>
        <v>137.1</v>
      </c>
      <c r="K43" s="109"/>
      <c r="L43" s="109"/>
      <c r="M43" s="109">
        <f aca="true" t="shared" si="6" ref="M43:M49">M5+M17+M29</f>
        <v>167.97499999999997</v>
      </c>
      <c r="N43" s="109"/>
      <c r="O43" s="109"/>
      <c r="P43" s="109">
        <f aca="true" t="shared" si="7" ref="P43:P49">P5+P17+P29</f>
        <v>205.20000000000002</v>
      </c>
      <c r="Q43" s="109"/>
      <c r="R43" s="109"/>
      <c r="S43" s="109">
        <f aca="true" t="shared" si="8" ref="S43:S49">S5+S17+S29</f>
        <v>260.1</v>
      </c>
      <c r="T43" s="109"/>
      <c r="U43" s="109"/>
      <c r="V43" s="109">
        <f aca="true" t="shared" si="9" ref="V43:V49">V5+V17+V29</f>
        <v>269</v>
      </c>
      <c r="W43" s="109"/>
      <c r="X43" s="109"/>
      <c r="Y43" s="109">
        <f aca="true" t="shared" si="10" ref="Y43:Y49">Y5+Y17+Y29</f>
        <v>288.09999999999997</v>
      </c>
      <c r="Z43" s="109"/>
      <c r="AA43" s="109"/>
      <c r="AB43" s="109">
        <f aca="true" t="shared" si="11" ref="AB43:AB49">AB5+AB17+AB29</f>
        <v>298.79999999999995</v>
      </c>
      <c r="AC43" s="109"/>
      <c r="AD43" s="109"/>
      <c r="AE43" s="109">
        <f aca="true" t="shared" si="12" ref="AE43:AE49">AE5+AE17+AE29</f>
        <v>304.79999999999995</v>
      </c>
      <c r="AF43" s="109"/>
      <c r="AG43" s="109"/>
      <c r="AH43" s="109">
        <f aca="true" t="shared" si="13" ref="AH43:AH49">AH5+AH17+AH29</f>
        <v>307.79999999999995</v>
      </c>
      <c r="AI43" s="109"/>
      <c r="AJ43" s="109"/>
      <c r="AK43" s="109">
        <f aca="true" t="shared" si="14" ref="AK43:AK49">AK5+AK17+AK29</f>
        <v>361.03684210526313</v>
      </c>
      <c r="AL43" s="109"/>
      <c r="AM43" s="109"/>
      <c r="AN43" s="67"/>
      <c r="AO43" s="109">
        <f t="shared" si="3"/>
        <v>2714.0118421052625</v>
      </c>
      <c r="AP43" s="109"/>
      <c r="AQ43" s="109"/>
      <c r="AR43" s="109"/>
      <c r="AS43" s="67"/>
      <c r="AT43" s="67"/>
    </row>
    <row r="44" spans="1:46" ht="12.75">
      <c r="A44" s="111" t="s">
        <v>77</v>
      </c>
      <c r="B44" s="111"/>
      <c r="C44" s="111"/>
      <c r="D44" s="111"/>
      <c r="E44" s="111"/>
      <c r="F44" s="111"/>
      <c r="G44" s="109">
        <f t="shared" si="4"/>
        <v>180</v>
      </c>
      <c r="H44" s="109"/>
      <c r="I44" s="109"/>
      <c r="J44" s="109">
        <f t="shared" si="5"/>
        <v>200</v>
      </c>
      <c r="K44" s="109"/>
      <c r="L44" s="109"/>
      <c r="M44" s="109">
        <f t="shared" si="6"/>
        <v>220</v>
      </c>
      <c r="N44" s="109"/>
      <c r="O44" s="109"/>
      <c r="P44" s="109">
        <f t="shared" si="7"/>
        <v>240</v>
      </c>
      <c r="Q44" s="109"/>
      <c r="R44" s="109"/>
      <c r="S44" s="109">
        <f t="shared" si="8"/>
        <v>240</v>
      </c>
      <c r="T44" s="109"/>
      <c r="U44" s="109"/>
      <c r="V44" s="109">
        <f t="shared" si="9"/>
        <v>240</v>
      </c>
      <c r="W44" s="109"/>
      <c r="X44" s="109"/>
      <c r="Y44" s="109">
        <f t="shared" si="10"/>
        <v>240</v>
      </c>
      <c r="Z44" s="109"/>
      <c r="AA44" s="109"/>
      <c r="AB44" s="109">
        <f t="shared" si="11"/>
        <v>240</v>
      </c>
      <c r="AC44" s="109"/>
      <c r="AD44" s="109"/>
      <c r="AE44" s="109">
        <f t="shared" si="12"/>
        <v>240</v>
      </c>
      <c r="AF44" s="109"/>
      <c r="AG44" s="109"/>
      <c r="AH44" s="109">
        <f t="shared" si="13"/>
        <v>240</v>
      </c>
      <c r="AI44" s="109"/>
      <c r="AJ44" s="109"/>
      <c r="AK44" s="109">
        <f t="shared" si="14"/>
        <v>240</v>
      </c>
      <c r="AL44" s="109"/>
      <c r="AM44" s="109"/>
      <c r="AN44" s="67"/>
      <c r="AO44" s="109">
        <f t="shared" si="3"/>
        <v>2520</v>
      </c>
      <c r="AP44" s="109"/>
      <c r="AQ44" s="109"/>
      <c r="AR44" s="109"/>
      <c r="AS44" s="67"/>
      <c r="AT44" s="67"/>
    </row>
    <row r="45" spans="1:46" ht="12.75">
      <c r="A45" s="111" t="s">
        <v>78</v>
      </c>
      <c r="B45" s="111"/>
      <c r="C45" s="111"/>
      <c r="D45" s="111"/>
      <c r="E45" s="111"/>
      <c r="F45" s="111"/>
      <c r="G45" s="109">
        <f t="shared" si="4"/>
        <v>294.1</v>
      </c>
      <c r="H45" s="109"/>
      <c r="I45" s="109"/>
      <c r="J45" s="109">
        <f t="shared" si="5"/>
        <v>337.09999999999997</v>
      </c>
      <c r="K45" s="109"/>
      <c r="L45" s="109"/>
      <c r="M45" s="109">
        <f t="shared" si="6"/>
        <v>387.97499999999997</v>
      </c>
      <c r="N45" s="109"/>
      <c r="O45" s="109"/>
      <c r="P45" s="109">
        <f t="shared" si="7"/>
        <v>445.20000000000005</v>
      </c>
      <c r="Q45" s="109"/>
      <c r="R45" s="109"/>
      <c r="S45" s="109">
        <f t="shared" si="8"/>
        <v>500.1</v>
      </c>
      <c r="T45" s="109"/>
      <c r="U45" s="109"/>
      <c r="V45" s="109">
        <f t="shared" si="9"/>
        <v>509</v>
      </c>
      <c r="W45" s="109"/>
      <c r="X45" s="109"/>
      <c r="Y45" s="109">
        <f t="shared" si="10"/>
        <v>528.1</v>
      </c>
      <c r="Z45" s="109"/>
      <c r="AA45" s="109"/>
      <c r="AB45" s="109">
        <f t="shared" si="11"/>
        <v>538.8</v>
      </c>
      <c r="AC45" s="109"/>
      <c r="AD45" s="109"/>
      <c r="AE45" s="109">
        <f t="shared" si="12"/>
        <v>544.8</v>
      </c>
      <c r="AF45" s="109"/>
      <c r="AG45" s="109"/>
      <c r="AH45" s="109">
        <f t="shared" si="13"/>
        <v>547.8</v>
      </c>
      <c r="AI45" s="109"/>
      <c r="AJ45" s="109"/>
      <c r="AK45" s="109">
        <f t="shared" si="14"/>
        <v>601.0368421052631</v>
      </c>
      <c r="AL45" s="109"/>
      <c r="AM45" s="109"/>
      <c r="AN45" s="67"/>
      <c r="AO45" s="109">
        <f t="shared" si="3"/>
        <v>5234.011842105263</v>
      </c>
      <c r="AP45" s="109"/>
      <c r="AQ45" s="109"/>
      <c r="AR45" s="109"/>
      <c r="AS45" s="67"/>
      <c r="AT45" s="67"/>
    </row>
    <row r="46" spans="1:46" ht="12.75">
      <c r="A46" s="113" t="s">
        <v>252</v>
      </c>
      <c r="B46" s="114"/>
      <c r="C46" s="114"/>
      <c r="D46" s="114"/>
      <c r="E46" s="114"/>
      <c r="F46" s="114"/>
      <c r="G46" s="109">
        <f t="shared" si="4"/>
        <v>75.3592894736842</v>
      </c>
      <c r="H46" s="109"/>
      <c r="I46" s="109"/>
      <c r="J46" s="109">
        <f t="shared" si="5"/>
        <v>138.21052631578948</v>
      </c>
      <c r="K46" s="109"/>
      <c r="L46" s="109"/>
      <c r="M46" s="109">
        <f t="shared" si="6"/>
        <v>204.03328947368422</v>
      </c>
      <c r="N46" s="109"/>
      <c r="O46" s="109"/>
      <c r="P46" s="109">
        <f t="shared" si="7"/>
        <v>286.0957894736842</v>
      </c>
      <c r="Q46" s="109"/>
      <c r="R46" s="109"/>
      <c r="S46" s="109">
        <f t="shared" si="8"/>
        <v>378.0057894736842</v>
      </c>
      <c r="T46" s="109"/>
      <c r="U46" s="109"/>
      <c r="V46" s="109">
        <f t="shared" si="9"/>
        <v>449.1842105263158</v>
      </c>
      <c r="W46" s="109"/>
      <c r="X46" s="109"/>
      <c r="Y46" s="109">
        <f t="shared" si="10"/>
        <v>499.63105263157894</v>
      </c>
      <c r="Z46" s="109"/>
      <c r="AA46" s="109"/>
      <c r="AB46" s="109">
        <f t="shared" si="11"/>
        <v>530.7284210526316</v>
      </c>
      <c r="AC46" s="109"/>
      <c r="AD46" s="109"/>
      <c r="AE46" s="109">
        <f t="shared" si="12"/>
        <v>544.5494736842105</v>
      </c>
      <c r="AF46" s="109"/>
      <c r="AG46" s="109"/>
      <c r="AH46" s="109">
        <f t="shared" si="13"/>
        <v>551.46</v>
      </c>
      <c r="AI46" s="109"/>
      <c r="AJ46" s="109"/>
      <c r="AK46" s="109">
        <f t="shared" si="14"/>
        <v>551.46</v>
      </c>
      <c r="AL46" s="109"/>
      <c r="AM46" s="109"/>
      <c r="AN46" s="67"/>
      <c r="AO46" s="109">
        <f t="shared" si="3"/>
        <v>4208.717842105263</v>
      </c>
      <c r="AP46" s="109"/>
      <c r="AQ46" s="109"/>
      <c r="AR46" s="109"/>
      <c r="AS46" s="67"/>
      <c r="AT46" s="67"/>
    </row>
    <row r="47" spans="1:46" ht="12.75">
      <c r="A47" s="113" t="s">
        <v>254</v>
      </c>
      <c r="B47" s="114"/>
      <c r="C47" s="114"/>
      <c r="D47" s="114"/>
      <c r="E47" s="114"/>
      <c r="F47" s="114"/>
      <c r="G47" s="109">
        <f t="shared" si="4"/>
        <v>75.32473684210525</v>
      </c>
      <c r="H47" s="109"/>
      <c r="I47" s="109"/>
      <c r="J47" s="109">
        <f t="shared" si="5"/>
        <v>138.21052631578948</v>
      </c>
      <c r="K47" s="109"/>
      <c r="L47" s="109"/>
      <c r="M47" s="109">
        <f t="shared" si="6"/>
        <v>204.03328947368422</v>
      </c>
      <c r="N47" s="109"/>
      <c r="O47" s="109"/>
      <c r="P47" s="109">
        <f t="shared" si="7"/>
        <v>286.0957894736842</v>
      </c>
      <c r="Q47" s="109"/>
      <c r="R47" s="109"/>
      <c r="S47" s="109">
        <f t="shared" si="8"/>
        <v>378.0057894736842</v>
      </c>
      <c r="T47" s="109"/>
      <c r="U47" s="109"/>
      <c r="V47" s="109">
        <f t="shared" si="9"/>
        <v>449.1842105263158</v>
      </c>
      <c r="W47" s="109"/>
      <c r="X47" s="109"/>
      <c r="Y47" s="109">
        <f t="shared" si="10"/>
        <v>499.63105263157894</v>
      </c>
      <c r="Z47" s="109"/>
      <c r="AA47" s="109"/>
      <c r="AB47" s="109">
        <f t="shared" si="11"/>
        <v>530.7284210526316</v>
      </c>
      <c r="AC47" s="109"/>
      <c r="AD47" s="109"/>
      <c r="AE47" s="109">
        <f t="shared" si="12"/>
        <v>544.5494736842105</v>
      </c>
      <c r="AF47" s="109"/>
      <c r="AG47" s="109"/>
      <c r="AH47" s="109">
        <f t="shared" si="13"/>
        <v>551.46</v>
      </c>
      <c r="AI47" s="109"/>
      <c r="AJ47" s="109"/>
      <c r="AK47" s="109">
        <f t="shared" si="14"/>
        <v>633.6952631578947</v>
      </c>
      <c r="AL47" s="109"/>
      <c r="AM47" s="109"/>
      <c r="AN47" s="67"/>
      <c r="AO47" s="109">
        <f>SUM(G47:AM47)</f>
        <v>4290.91855263158</v>
      </c>
      <c r="AP47" s="109"/>
      <c r="AQ47" s="109"/>
      <c r="AR47" s="109"/>
      <c r="AS47" s="67"/>
      <c r="AT47" s="67"/>
    </row>
    <row r="48" spans="1:46" ht="12.75">
      <c r="A48" s="111" t="s">
        <v>76</v>
      </c>
      <c r="B48" s="111"/>
      <c r="C48" s="111"/>
      <c r="D48" s="111"/>
      <c r="E48" s="111"/>
      <c r="F48" s="111"/>
      <c r="G48" s="109">
        <f t="shared" si="4"/>
        <v>215.48421052631582</v>
      </c>
      <c r="H48" s="109"/>
      <c r="I48" s="109"/>
      <c r="J48" s="109">
        <f t="shared" si="5"/>
        <v>200.88947368421054</v>
      </c>
      <c r="K48" s="109"/>
      <c r="L48" s="109"/>
      <c r="M48" s="109">
        <f t="shared" si="6"/>
        <v>185.88421052631583</v>
      </c>
      <c r="N48" s="109"/>
      <c r="O48" s="109"/>
      <c r="P48" s="109">
        <f t="shared" si="7"/>
        <v>161.68421052631584</v>
      </c>
      <c r="Q48" s="109"/>
      <c r="R48" s="109"/>
      <c r="S48" s="109">
        <f t="shared" si="8"/>
        <v>105.6842105263158</v>
      </c>
      <c r="T48" s="109"/>
      <c r="U48" s="109"/>
      <c r="V48" s="109">
        <f t="shared" si="9"/>
        <v>62.315789473684234</v>
      </c>
      <c r="W48" s="109"/>
      <c r="X48" s="109"/>
      <c r="Y48" s="109">
        <f t="shared" si="10"/>
        <v>31.578947368421055</v>
      </c>
      <c r="Z48" s="109"/>
      <c r="AA48" s="109"/>
      <c r="AB48" s="109">
        <f t="shared" si="11"/>
        <v>12.631578947368421</v>
      </c>
      <c r="AC48" s="109"/>
      <c r="AD48" s="109"/>
      <c r="AE48" s="109">
        <f t="shared" si="12"/>
        <v>4.21052631578948</v>
      </c>
      <c r="AF48" s="109"/>
      <c r="AG48" s="109"/>
      <c r="AH48" s="109">
        <f t="shared" si="13"/>
        <v>0</v>
      </c>
      <c r="AI48" s="109"/>
      <c r="AJ48" s="109"/>
      <c r="AK48" s="109">
        <f t="shared" si="14"/>
        <v>0</v>
      </c>
      <c r="AL48" s="109"/>
      <c r="AM48" s="109"/>
      <c r="AN48" s="67"/>
      <c r="AO48" s="109">
        <f t="shared" si="3"/>
        <v>980.3631578947371</v>
      </c>
      <c r="AP48" s="109"/>
      <c r="AQ48" s="109"/>
      <c r="AR48" s="109"/>
      <c r="AS48" s="67"/>
      <c r="AT48" s="67"/>
    </row>
    <row r="49" spans="1:46" ht="12.75">
      <c r="A49" s="111" t="s">
        <v>224</v>
      </c>
      <c r="B49" s="111"/>
      <c r="C49" s="111"/>
      <c r="D49" s="111"/>
      <c r="E49" s="111"/>
      <c r="F49" s="111"/>
      <c r="G49" s="109">
        <f t="shared" si="4"/>
        <v>-215.50526315789477</v>
      </c>
      <c r="H49" s="109"/>
      <c r="I49" s="109"/>
      <c r="J49" s="109">
        <f t="shared" si="5"/>
        <v>-200.88947368421054</v>
      </c>
      <c r="K49" s="109"/>
      <c r="L49" s="109"/>
      <c r="M49" s="109">
        <f t="shared" si="6"/>
        <v>-185.88421052631583</v>
      </c>
      <c r="N49" s="109"/>
      <c r="O49" s="109"/>
      <c r="P49" s="109">
        <f t="shared" si="7"/>
        <v>-161.68421052631584</v>
      </c>
      <c r="Q49" s="109"/>
      <c r="R49" s="109"/>
      <c r="S49" s="109">
        <f t="shared" si="8"/>
        <v>-105.6842105263158</v>
      </c>
      <c r="T49" s="109"/>
      <c r="U49" s="109"/>
      <c r="V49" s="109">
        <f t="shared" si="9"/>
        <v>-62.31578947368422</v>
      </c>
      <c r="W49" s="109"/>
      <c r="X49" s="109"/>
      <c r="Y49" s="109">
        <f t="shared" si="10"/>
        <v>-31.57894736842104</v>
      </c>
      <c r="Z49" s="109"/>
      <c r="AA49" s="109"/>
      <c r="AB49" s="109">
        <f t="shared" si="11"/>
        <v>-12.631578947368416</v>
      </c>
      <c r="AC49" s="109"/>
      <c r="AD49" s="109"/>
      <c r="AE49" s="109">
        <f t="shared" si="12"/>
        <v>-4.210526315789463</v>
      </c>
      <c r="AF49" s="109"/>
      <c r="AG49" s="109"/>
      <c r="AH49" s="109">
        <f t="shared" si="13"/>
        <v>9.414691248821327E-15</v>
      </c>
      <c r="AI49" s="109"/>
      <c r="AJ49" s="109"/>
      <c r="AK49" s="109">
        <f t="shared" si="14"/>
        <v>32.56842105263158</v>
      </c>
      <c r="AL49" s="109"/>
      <c r="AM49" s="109"/>
      <c r="AN49" s="67"/>
      <c r="AO49" s="109">
        <f aca="true" t="shared" si="15" ref="AO49:AO68">SUM(G49:AM49)</f>
        <v>-947.8157894736843</v>
      </c>
      <c r="AP49" s="109"/>
      <c r="AQ49" s="109"/>
      <c r="AR49" s="109"/>
      <c r="AS49" s="67"/>
      <c r="AT49" s="67"/>
    </row>
    <row r="50" spans="1:44" ht="12.75">
      <c r="A50" s="111" t="s">
        <v>253</v>
      </c>
      <c r="B50" s="111"/>
      <c r="C50" s="111"/>
      <c r="D50" s="111"/>
      <c r="E50" s="111"/>
      <c r="F50" s="111"/>
      <c r="G50" s="109">
        <f>G48+G49</f>
        <v>-0.02105263157895365</v>
      </c>
      <c r="H50" s="109"/>
      <c r="I50" s="109"/>
      <c r="J50" s="109">
        <f>J48+J49</f>
        <v>0</v>
      </c>
      <c r="K50" s="109"/>
      <c r="L50" s="109"/>
      <c r="M50" s="109">
        <f>M48+M49</f>
        <v>0</v>
      </c>
      <c r="N50" s="109"/>
      <c r="O50" s="109"/>
      <c r="P50" s="109">
        <f>P48+P49</f>
        <v>0</v>
      </c>
      <c r="Q50" s="109"/>
      <c r="R50" s="109"/>
      <c r="S50" s="109">
        <f>S48+S49</f>
        <v>0</v>
      </c>
      <c r="T50" s="109"/>
      <c r="U50" s="109"/>
      <c r="V50" s="109">
        <f>V48+V49</f>
        <v>0</v>
      </c>
      <c r="W50" s="109"/>
      <c r="X50" s="109"/>
      <c r="Y50" s="109">
        <f>Y48+Y49</f>
        <v>0</v>
      </c>
      <c r="Z50" s="109"/>
      <c r="AA50" s="109"/>
      <c r="AB50" s="109">
        <f>AB48+AB49</f>
        <v>0</v>
      </c>
      <c r="AC50" s="109"/>
      <c r="AD50" s="109"/>
      <c r="AE50" s="109">
        <f>AE48+AE49</f>
        <v>1.687538997430238E-14</v>
      </c>
      <c r="AF50" s="109"/>
      <c r="AG50" s="109"/>
      <c r="AH50" s="109">
        <f>AH48+AH49</f>
        <v>9.414691248821327E-15</v>
      </c>
      <c r="AI50" s="109"/>
      <c r="AJ50" s="109"/>
      <c r="AK50" s="109">
        <f>AK48+AK49</f>
        <v>32.56842105263158</v>
      </c>
      <c r="AL50" s="109"/>
      <c r="AM50" s="109"/>
      <c r="AN50" s="67"/>
      <c r="AO50" s="109">
        <f t="shared" si="15"/>
        <v>32.54736842105265</v>
      </c>
      <c r="AP50" s="109"/>
      <c r="AQ50" s="109"/>
      <c r="AR50" s="109"/>
    </row>
    <row r="51" spans="1:44" ht="12.75">
      <c r="A51" s="111" t="s">
        <v>255</v>
      </c>
      <c r="B51" s="111"/>
      <c r="C51" s="111"/>
      <c r="D51" s="111"/>
      <c r="E51" s="111"/>
      <c r="F51" s="111"/>
      <c r="G51" s="109">
        <f>G39*0.04</f>
        <v>87.24</v>
      </c>
      <c r="H51" s="109"/>
      <c r="I51" s="109"/>
      <c r="J51" s="109">
        <f>J39*0.04</f>
        <v>160</v>
      </c>
      <c r="K51" s="109"/>
      <c r="L51" s="109"/>
      <c r="M51" s="109">
        <f>M39*0.04</f>
        <v>236.20000000000002</v>
      </c>
      <c r="N51" s="109"/>
      <c r="O51" s="109"/>
      <c r="P51" s="109">
        <f>P39*0.04</f>
        <v>331.2</v>
      </c>
      <c r="Q51" s="109"/>
      <c r="R51" s="109"/>
      <c r="S51" s="109">
        <f>S39*0.04</f>
        <v>437.6</v>
      </c>
      <c r="T51" s="109"/>
      <c r="U51" s="109"/>
      <c r="V51" s="109">
        <f>V39*0.04</f>
        <v>520</v>
      </c>
      <c r="W51" s="109"/>
      <c r="X51" s="109"/>
      <c r="Y51" s="109">
        <f>Y39*0.04</f>
        <v>578.4</v>
      </c>
      <c r="Z51" s="109"/>
      <c r="AA51" s="109"/>
      <c r="AB51" s="109">
        <f>AB39*0.04</f>
        <v>614.4</v>
      </c>
      <c r="AC51" s="109"/>
      <c r="AD51" s="109"/>
      <c r="AE51" s="109">
        <f>AE39*0.04</f>
        <v>630.4</v>
      </c>
      <c r="AF51" s="109"/>
      <c r="AG51" s="109"/>
      <c r="AH51" s="109">
        <f>AH39*0.04</f>
        <v>638.4</v>
      </c>
      <c r="AI51" s="109"/>
      <c r="AJ51" s="109"/>
      <c r="AK51" s="109">
        <f>AK39*0.04</f>
        <v>638.4</v>
      </c>
      <c r="AL51" s="109"/>
      <c r="AM51" s="109"/>
      <c r="AN51" s="67"/>
      <c r="AO51" s="109">
        <f t="shared" si="15"/>
        <v>4872.24</v>
      </c>
      <c r="AP51" s="109"/>
      <c r="AQ51" s="109"/>
      <c r="AR51" s="109"/>
    </row>
    <row r="52" spans="1:44" ht="12.75">
      <c r="A52" s="111" t="s">
        <v>256</v>
      </c>
      <c r="B52" s="111"/>
      <c r="C52" s="111"/>
      <c r="D52" s="111"/>
      <c r="E52" s="111"/>
      <c r="F52" s="111"/>
      <c r="G52" s="109">
        <f>G40*0.04</f>
        <v>87.2</v>
      </c>
      <c r="H52" s="109"/>
      <c r="I52" s="109"/>
      <c r="J52" s="109">
        <f>J40*0.04</f>
        <v>160</v>
      </c>
      <c r="K52" s="109"/>
      <c r="L52" s="109"/>
      <c r="M52" s="109">
        <f>M40*0.04</f>
        <v>236.20000000000002</v>
      </c>
      <c r="N52" s="109"/>
      <c r="O52" s="109"/>
      <c r="P52" s="109">
        <f>P40*0.04</f>
        <v>331.2</v>
      </c>
      <c r="Q52" s="109"/>
      <c r="R52" s="109"/>
      <c r="S52" s="109">
        <f>S40*0.04</f>
        <v>437.6</v>
      </c>
      <c r="T52" s="109"/>
      <c r="U52" s="109"/>
      <c r="V52" s="109">
        <f>V40*0.04</f>
        <v>520</v>
      </c>
      <c r="W52" s="109"/>
      <c r="X52" s="109"/>
      <c r="Y52" s="109">
        <f>Y40*0.04</f>
        <v>578.4</v>
      </c>
      <c r="Z52" s="109"/>
      <c r="AA52" s="109"/>
      <c r="AB52" s="109">
        <f>AB40*0.04</f>
        <v>614.4</v>
      </c>
      <c r="AC52" s="109"/>
      <c r="AD52" s="109"/>
      <c r="AE52" s="109">
        <f>AE40*0.04</f>
        <v>630.4</v>
      </c>
      <c r="AF52" s="109"/>
      <c r="AG52" s="109"/>
      <c r="AH52" s="109">
        <f>AH40*0.04</f>
        <v>638.4</v>
      </c>
      <c r="AI52" s="109"/>
      <c r="AJ52" s="109"/>
      <c r="AK52" s="109">
        <f>AK40*0.04</f>
        <v>733.6</v>
      </c>
      <c r="AL52" s="109"/>
      <c r="AM52" s="109"/>
      <c r="AN52" s="67"/>
      <c r="AO52" s="109">
        <f t="shared" si="15"/>
        <v>4967.400000000001</v>
      </c>
      <c r="AP52" s="109"/>
      <c r="AQ52" s="109"/>
      <c r="AR52" s="109"/>
    </row>
    <row r="53" spans="1:44" ht="12.75">
      <c r="A53" s="111" t="s">
        <v>257</v>
      </c>
      <c r="B53" s="111"/>
      <c r="C53" s="111"/>
      <c r="D53" s="111"/>
      <c r="E53" s="111"/>
      <c r="F53" s="111"/>
      <c r="G53" s="109">
        <f>(4-$A$1)*G39/100</f>
        <v>11.88071052631579</v>
      </c>
      <c r="H53" s="109"/>
      <c r="I53" s="109"/>
      <c r="J53" s="109">
        <f>(4-$A$1)*J39/100</f>
        <v>21.78947368421053</v>
      </c>
      <c r="K53" s="109"/>
      <c r="L53" s="109"/>
      <c r="M53" s="109">
        <f>(4-$A$1)*M39/100</f>
        <v>32.16671052631579</v>
      </c>
      <c r="N53" s="109"/>
      <c r="O53" s="109"/>
      <c r="P53" s="109">
        <f>(4-$A$1)*P39/100</f>
        <v>45.10421052631579</v>
      </c>
      <c r="Q53" s="109"/>
      <c r="R53" s="109"/>
      <c r="S53" s="109">
        <f>(4-$A$1)*S39/100</f>
        <v>59.59421052631579</v>
      </c>
      <c r="T53" s="109"/>
      <c r="U53" s="109"/>
      <c r="V53" s="109">
        <f>(4-$A$1)*V39/100</f>
        <v>70.81578947368422</v>
      </c>
      <c r="W53" s="109"/>
      <c r="X53" s="109"/>
      <c r="Y53" s="109">
        <f>(4-$A$1)*Y39/100</f>
        <v>78.76894736842105</v>
      </c>
      <c r="Z53" s="109"/>
      <c r="AA53" s="109"/>
      <c r="AB53" s="109">
        <f>(4-$A$1)*AB39/100</f>
        <v>83.67157894736843</v>
      </c>
      <c r="AC53" s="109"/>
      <c r="AD53" s="109"/>
      <c r="AE53" s="109">
        <f>(4-$A$1)*AE39/100</f>
        <v>85.85052631578948</v>
      </c>
      <c r="AF53" s="109"/>
      <c r="AG53" s="109"/>
      <c r="AH53" s="109">
        <f>(4-$A$1)*AH39/100</f>
        <v>86.94</v>
      </c>
      <c r="AI53" s="109"/>
      <c r="AJ53" s="109"/>
      <c r="AK53" s="109">
        <f>(4-$A$1)*AK39/100</f>
        <v>86.94</v>
      </c>
      <c r="AL53" s="109"/>
      <c r="AM53" s="109"/>
      <c r="AN53" s="67"/>
      <c r="AO53" s="109">
        <f t="shared" si="15"/>
        <v>663.5221578947369</v>
      </c>
      <c r="AP53" s="109"/>
      <c r="AQ53" s="109"/>
      <c r="AR53" s="109"/>
    </row>
    <row r="54" spans="1:44" ht="12.75">
      <c r="A54" s="111" t="s">
        <v>258</v>
      </c>
      <c r="B54" s="111"/>
      <c r="C54" s="111"/>
      <c r="D54" s="111"/>
      <c r="E54" s="111"/>
      <c r="F54" s="111"/>
      <c r="G54" s="109">
        <f>(4-$A$1)*G40/100</f>
        <v>11.875263157894738</v>
      </c>
      <c r="H54" s="109"/>
      <c r="I54" s="109"/>
      <c r="J54" s="109">
        <f>(4-$A$1)*J40/100</f>
        <v>21.78947368421053</v>
      </c>
      <c r="K54" s="109"/>
      <c r="L54" s="109"/>
      <c r="M54" s="109">
        <f>(4-$A$1)*M40/100</f>
        <v>32.16671052631579</v>
      </c>
      <c r="N54" s="109"/>
      <c r="O54" s="109"/>
      <c r="P54" s="109">
        <f>(4-$A$1)*P40/100</f>
        <v>45.10421052631579</v>
      </c>
      <c r="Q54" s="109"/>
      <c r="R54" s="109"/>
      <c r="S54" s="109">
        <f>(4-$A$1)*S40/100</f>
        <v>59.59421052631579</v>
      </c>
      <c r="T54" s="109"/>
      <c r="U54" s="109"/>
      <c r="V54" s="109">
        <f>(4-$A$1)*V40/100</f>
        <v>70.81578947368422</v>
      </c>
      <c r="W54" s="109"/>
      <c r="X54" s="109"/>
      <c r="Y54" s="109">
        <f>(4-$A$1)*Y40/100</f>
        <v>78.76894736842105</v>
      </c>
      <c r="Z54" s="109"/>
      <c r="AA54" s="109"/>
      <c r="AB54" s="109">
        <f>(4-$A$1)*AB40/100</f>
        <v>83.67157894736843</v>
      </c>
      <c r="AC54" s="109"/>
      <c r="AD54" s="109"/>
      <c r="AE54" s="109">
        <f>(4-$A$1)*AE40/100</f>
        <v>85.85052631578948</v>
      </c>
      <c r="AF54" s="109"/>
      <c r="AG54" s="109"/>
      <c r="AH54" s="109">
        <f>(4-$A$1)*AH40/100</f>
        <v>86.94</v>
      </c>
      <c r="AI54" s="109"/>
      <c r="AJ54" s="109"/>
      <c r="AK54" s="109">
        <f>(4-$A$1)*AK40/100</f>
        <v>99.90473684210527</v>
      </c>
      <c r="AL54" s="109"/>
      <c r="AM54" s="109"/>
      <c r="AN54" s="67"/>
      <c r="AO54" s="109">
        <f t="shared" si="15"/>
        <v>676.4814473684211</v>
      </c>
      <c r="AP54" s="109"/>
      <c r="AQ54" s="109"/>
      <c r="AR54" s="109"/>
    </row>
    <row r="55" spans="1:44" ht="12.75">
      <c r="A55" s="111" t="s">
        <v>259</v>
      </c>
      <c r="B55" s="111"/>
      <c r="C55" s="111"/>
      <c r="D55" s="111"/>
      <c r="E55" s="111"/>
      <c r="F55" s="111"/>
      <c r="G55" s="109">
        <f>G52-G51</f>
        <v>-0.03999999999999204</v>
      </c>
      <c r="H55" s="109"/>
      <c r="I55" s="109"/>
      <c r="J55" s="109">
        <f>J52-J51</f>
        <v>0</v>
      </c>
      <c r="K55" s="109"/>
      <c r="L55" s="109"/>
      <c r="M55" s="109">
        <f>M52-M51</f>
        <v>0</v>
      </c>
      <c r="N55" s="109"/>
      <c r="O55" s="109"/>
      <c r="P55" s="109">
        <f>P52-P51</f>
        <v>0</v>
      </c>
      <c r="Q55" s="109"/>
      <c r="R55" s="109"/>
      <c r="S55" s="109">
        <f>S52-S51</f>
        <v>0</v>
      </c>
      <c r="T55" s="109"/>
      <c r="U55" s="109"/>
      <c r="V55" s="109">
        <f>V52-V51</f>
        <v>0</v>
      </c>
      <c r="W55" s="109"/>
      <c r="X55" s="109"/>
      <c r="Y55" s="109">
        <f>Y52-Y51</f>
        <v>0</v>
      </c>
      <c r="Z55" s="109"/>
      <c r="AA55" s="109"/>
      <c r="AB55" s="109">
        <f>AB52-AB51</f>
        <v>0</v>
      </c>
      <c r="AC55" s="109"/>
      <c r="AD55" s="109"/>
      <c r="AE55" s="109">
        <f>AE52-AE51</f>
        <v>0</v>
      </c>
      <c r="AF55" s="109"/>
      <c r="AG55" s="109"/>
      <c r="AH55" s="109">
        <f>AH52-AH51</f>
        <v>0</v>
      </c>
      <c r="AI55" s="109"/>
      <c r="AJ55" s="109"/>
      <c r="AK55" s="109">
        <f>AK52-AK51</f>
        <v>95.20000000000005</v>
      </c>
      <c r="AL55" s="109"/>
      <c r="AM55" s="109"/>
      <c r="AN55" s="67"/>
      <c r="AO55" s="109">
        <f t="shared" si="15"/>
        <v>95.16000000000005</v>
      </c>
      <c r="AP55" s="109"/>
      <c r="AQ55" s="109"/>
      <c r="AR55" s="109"/>
    </row>
    <row r="56" spans="1:44" ht="12.75">
      <c r="A56" s="111" t="s">
        <v>260</v>
      </c>
      <c r="B56" s="111"/>
      <c r="C56" s="111"/>
      <c r="D56" s="111"/>
      <c r="E56" s="111"/>
      <c r="F56" s="111"/>
      <c r="G56" s="109">
        <f>G54-G53</f>
        <v>-0.00544736842105209</v>
      </c>
      <c r="H56" s="109"/>
      <c r="I56" s="109"/>
      <c r="J56" s="109">
        <f>J54-J53</f>
        <v>0</v>
      </c>
      <c r="K56" s="109"/>
      <c r="L56" s="109"/>
      <c r="M56" s="109">
        <f>M54-M53</f>
        <v>0</v>
      </c>
      <c r="N56" s="109"/>
      <c r="O56" s="109"/>
      <c r="P56" s="109">
        <f>P54-P53</f>
        <v>0</v>
      </c>
      <c r="Q56" s="109"/>
      <c r="R56" s="109"/>
      <c r="S56" s="109">
        <f>S54-S53</f>
        <v>0</v>
      </c>
      <c r="T56" s="109"/>
      <c r="U56" s="109"/>
      <c r="V56" s="109">
        <f>V54-V53</f>
        <v>0</v>
      </c>
      <c r="W56" s="109"/>
      <c r="X56" s="109"/>
      <c r="Y56" s="109">
        <f>Y54-Y53</f>
        <v>0</v>
      </c>
      <c r="Z56" s="109"/>
      <c r="AA56" s="109"/>
      <c r="AB56" s="109">
        <f>AB54-AB53</f>
        <v>0</v>
      </c>
      <c r="AC56" s="109"/>
      <c r="AD56" s="109"/>
      <c r="AE56" s="109">
        <f>AE54-AE53</f>
        <v>0</v>
      </c>
      <c r="AF56" s="109"/>
      <c r="AG56" s="109"/>
      <c r="AH56" s="109">
        <f>AH54-AH53</f>
        <v>0</v>
      </c>
      <c r="AI56" s="109"/>
      <c r="AJ56" s="109"/>
      <c r="AK56" s="109">
        <f>AK54-AK53</f>
        <v>12.964736842105268</v>
      </c>
      <c r="AL56" s="109"/>
      <c r="AM56" s="109"/>
      <c r="AN56" s="67"/>
      <c r="AO56" s="109">
        <f t="shared" si="15"/>
        <v>12.959289473684215</v>
      </c>
      <c r="AP56" s="109"/>
      <c r="AQ56" s="109"/>
      <c r="AR56" s="109"/>
    </row>
    <row r="57" spans="1:44" ht="12.75">
      <c r="A57" s="111" t="s">
        <v>273</v>
      </c>
      <c r="B57" s="111"/>
      <c r="C57" s="111"/>
      <c r="D57" s="111"/>
      <c r="E57" s="111"/>
      <c r="F57" s="111"/>
      <c r="G57" s="109">
        <f>G39*0.15/100</f>
        <v>3.2714999999999996</v>
      </c>
      <c r="H57" s="109"/>
      <c r="I57" s="109"/>
      <c r="J57" s="109">
        <f>J39*0.15/100</f>
        <v>6</v>
      </c>
      <c r="K57" s="109"/>
      <c r="L57" s="109"/>
      <c r="M57" s="109">
        <f>M39*0.15/100</f>
        <v>8.8575</v>
      </c>
      <c r="N57" s="109"/>
      <c r="O57" s="109"/>
      <c r="P57" s="109">
        <f>P39*0.15/100</f>
        <v>12.42</v>
      </c>
      <c r="Q57" s="109"/>
      <c r="R57" s="109"/>
      <c r="S57" s="109">
        <f>S39*0.15/100</f>
        <v>16.41</v>
      </c>
      <c r="T57" s="109"/>
      <c r="U57" s="109"/>
      <c r="V57" s="109">
        <f>V39*0.15/100</f>
        <v>19.5</v>
      </c>
      <c r="W57" s="109"/>
      <c r="X57" s="109"/>
      <c r="Y57" s="109">
        <f>Y39*0.15/100</f>
        <v>21.69</v>
      </c>
      <c r="Z57" s="109"/>
      <c r="AA57" s="109"/>
      <c r="AB57" s="109">
        <f>AB39*0.15/100</f>
        <v>23.04</v>
      </c>
      <c r="AC57" s="109"/>
      <c r="AD57" s="109"/>
      <c r="AE57" s="109">
        <f>AE39*0.15/100</f>
        <v>23.64</v>
      </c>
      <c r="AF57" s="109"/>
      <c r="AG57" s="109"/>
      <c r="AH57" s="109">
        <f>AH39*0.15/100</f>
        <v>23.94</v>
      </c>
      <c r="AI57" s="109"/>
      <c r="AJ57" s="109"/>
      <c r="AK57" s="109">
        <f>AK39*0.15/100</f>
        <v>23.94</v>
      </c>
      <c r="AL57" s="109"/>
      <c r="AM57" s="109"/>
      <c r="AN57" s="67"/>
      <c r="AO57" s="109">
        <f t="shared" si="15"/>
        <v>182.709</v>
      </c>
      <c r="AP57" s="109"/>
      <c r="AQ57" s="109"/>
      <c r="AR57" s="109"/>
    </row>
    <row r="58" spans="1:44" ht="12.75">
      <c r="A58" s="111" t="s">
        <v>271</v>
      </c>
      <c r="B58" s="111"/>
      <c r="C58" s="111"/>
      <c r="D58" s="111"/>
      <c r="E58" s="111"/>
      <c r="F58" s="111"/>
      <c r="G58" s="109">
        <f>G13+G25+G37</f>
        <v>0</v>
      </c>
      <c r="H58" s="109"/>
      <c r="I58" s="109"/>
      <c r="J58" s="109">
        <f>J13+J25+J37</f>
        <v>0</v>
      </c>
      <c r="K58" s="109"/>
      <c r="L58" s="109"/>
      <c r="M58" s="109">
        <f>M13+M25+M37</f>
        <v>0</v>
      </c>
      <c r="N58" s="109"/>
      <c r="O58" s="109"/>
      <c r="P58" s="109">
        <f>P13+P25+P37</f>
        <v>0</v>
      </c>
      <c r="Q58" s="109"/>
      <c r="R58" s="109"/>
      <c r="S58" s="109">
        <f>S13+S25+S37</f>
        <v>0</v>
      </c>
      <c r="T58" s="109"/>
      <c r="U58" s="109"/>
      <c r="V58" s="109">
        <f>V13+V25+V37</f>
        <v>0</v>
      </c>
      <c r="W58" s="109"/>
      <c r="X58" s="109"/>
      <c r="Y58" s="109">
        <f>Y13+Y25+Y37</f>
        <v>0</v>
      </c>
      <c r="Z58" s="109"/>
      <c r="AA58" s="109"/>
      <c r="AB58" s="109">
        <f>AB13+AB25+AB37</f>
        <v>0</v>
      </c>
      <c r="AC58" s="109"/>
      <c r="AD58" s="109"/>
      <c r="AE58" s="109">
        <f>AE13+AE25+AE37</f>
        <v>0</v>
      </c>
      <c r="AF58" s="109"/>
      <c r="AG58" s="109"/>
      <c r="AH58" s="109">
        <f>AH13+AH25+AH37</f>
        <v>0</v>
      </c>
      <c r="AI58" s="109"/>
      <c r="AJ58" s="109"/>
      <c r="AK58" s="109">
        <f>AK13+AK25+AK37</f>
        <v>0</v>
      </c>
      <c r="AL58" s="109"/>
      <c r="AM58" s="109"/>
      <c r="AN58" s="67"/>
      <c r="AO58" s="109">
        <f t="shared" si="15"/>
        <v>0</v>
      </c>
      <c r="AP58" s="109"/>
      <c r="AQ58" s="109"/>
      <c r="AR58" s="109"/>
    </row>
    <row r="59" spans="1:44" ht="12.75">
      <c r="A59" s="111" t="s">
        <v>272</v>
      </c>
      <c r="B59" s="111"/>
      <c r="C59" s="111"/>
      <c r="D59" s="111"/>
      <c r="E59" s="111"/>
      <c r="F59" s="111"/>
      <c r="G59" s="109">
        <f>G58/G61</f>
        <v>0</v>
      </c>
      <c r="H59" s="109"/>
      <c r="I59" s="109"/>
      <c r="J59" s="109">
        <f>J58/J61</f>
        <v>0</v>
      </c>
      <c r="K59" s="109"/>
      <c r="L59" s="109"/>
      <c r="M59" s="109">
        <f>M58/M61</f>
        <v>0</v>
      </c>
      <c r="N59" s="109"/>
      <c r="O59" s="109"/>
      <c r="P59" s="109">
        <f>P58/P61</f>
        <v>0</v>
      </c>
      <c r="Q59" s="109"/>
      <c r="R59" s="109"/>
      <c r="S59" s="109">
        <f>S58/S61</f>
        <v>0</v>
      </c>
      <c r="T59" s="109"/>
      <c r="U59" s="109"/>
      <c r="V59" s="109">
        <f>V58/V61</f>
        <v>0</v>
      </c>
      <c r="W59" s="109"/>
      <c r="X59" s="109"/>
      <c r="Y59" s="109">
        <f>Y58/Y61</f>
        <v>0</v>
      </c>
      <c r="Z59" s="109"/>
      <c r="AA59" s="109"/>
      <c r="AB59" s="109">
        <f>AB58/AB61</f>
        <v>0</v>
      </c>
      <c r="AC59" s="109"/>
      <c r="AD59" s="109"/>
      <c r="AE59" s="109">
        <f>AE58/AE61</f>
        <v>0</v>
      </c>
      <c r="AF59" s="109"/>
      <c r="AG59" s="109"/>
      <c r="AH59" s="109">
        <f>AH58/AH61</f>
        <v>0</v>
      </c>
      <c r="AI59" s="109"/>
      <c r="AJ59" s="109"/>
      <c r="AK59" s="109">
        <f>AK58/AK61</f>
        <v>0</v>
      </c>
      <c r="AL59" s="109"/>
      <c r="AM59" s="109"/>
      <c r="AN59" s="67"/>
      <c r="AO59" s="109">
        <f t="shared" si="15"/>
        <v>0</v>
      </c>
      <c r="AP59" s="109"/>
      <c r="AQ59" s="109"/>
      <c r="AR59" s="109"/>
    </row>
    <row r="60" spans="1:44" ht="12.75">
      <c r="A60" s="111" t="s">
        <v>261</v>
      </c>
      <c r="B60" s="111"/>
      <c r="C60" s="111"/>
      <c r="D60" s="111"/>
      <c r="E60" s="111"/>
      <c r="F60" s="111"/>
      <c r="G60" s="109">
        <f>G56+G50</f>
        <v>-0.02650000000000574</v>
      </c>
      <c r="H60" s="109"/>
      <c r="I60" s="109"/>
      <c r="J60" s="109">
        <f>J56+J50</f>
        <v>0</v>
      </c>
      <c r="K60" s="109"/>
      <c r="L60" s="109"/>
      <c r="M60" s="109">
        <f>M56+M50</f>
        <v>0</v>
      </c>
      <c r="N60" s="109"/>
      <c r="O60" s="109"/>
      <c r="P60" s="109">
        <f>P56+P50</f>
        <v>0</v>
      </c>
      <c r="Q60" s="109"/>
      <c r="R60" s="109"/>
      <c r="S60" s="109">
        <f>S56+S50</f>
        <v>0</v>
      </c>
      <c r="T60" s="109"/>
      <c r="U60" s="109"/>
      <c r="V60" s="109">
        <f>V56+V50</f>
        <v>0</v>
      </c>
      <c r="W60" s="109"/>
      <c r="X60" s="109"/>
      <c r="Y60" s="109">
        <f>Y56+Y50</f>
        <v>0</v>
      </c>
      <c r="Z60" s="109"/>
      <c r="AA60" s="109"/>
      <c r="AB60" s="109">
        <f>AB56+AB50</f>
        <v>0</v>
      </c>
      <c r="AC60" s="109"/>
      <c r="AD60" s="109"/>
      <c r="AE60" s="109">
        <f>AE56+AE50</f>
        <v>1.687538997430238E-14</v>
      </c>
      <c r="AF60" s="109"/>
      <c r="AG60" s="109"/>
      <c r="AH60" s="109">
        <f>AH56+AH50</f>
        <v>9.414691248821327E-15</v>
      </c>
      <c r="AI60" s="109"/>
      <c r="AJ60" s="109"/>
      <c r="AK60" s="109">
        <f>AK56+AK50</f>
        <v>45.533157894736846</v>
      </c>
      <c r="AL60" s="109"/>
      <c r="AM60" s="109"/>
      <c r="AN60" s="67"/>
      <c r="AO60" s="109">
        <f t="shared" si="15"/>
        <v>45.50665789473687</v>
      </c>
      <c r="AP60" s="109"/>
      <c r="AQ60" s="109"/>
      <c r="AR60" s="109"/>
    </row>
    <row r="61" spans="1:44" ht="12.75">
      <c r="A61" s="111" t="s">
        <v>262</v>
      </c>
      <c r="B61" s="111"/>
      <c r="C61" s="111"/>
      <c r="D61" s="111"/>
      <c r="E61" s="111"/>
      <c r="F61" s="111"/>
      <c r="G61" s="112">
        <v>9</v>
      </c>
      <c r="H61" s="112"/>
      <c r="I61" s="112"/>
      <c r="J61" s="112">
        <v>10</v>
      </c>
      <c r="K61" s="112"/>
      <c r="L61" s="112"/>
      <c r="M61" s="112">
        <v>11</v>
      </c>
      <c r="N61" s="112"/>
      <c r="O61" s="112"/>
      <c r="P61" s="112">
        <v>12</v>
      </c>
      <c r="Q61" s="112"/>
      <c r="R61" s="112"/>
      <c r="S61" s="112">
        <v>12</v>
      </c>
      <c r="T61" s="112"/>
      <c r="U61" s="112"/>
      <c r="V61" s="112">
        <v>12</v>
      </c>
      <c r="W61" s="112"/>
      <c r="X61" s="112"/>
      <c r="Y61" s="112">
        <v>12</v>
      </c>
      <c r="Z61" s="112"/>
      <c r="AA61" s="112"/>
      <c r="AB61" s="112">
        <v>12</v>
      </c>
      <c r="AC61" s="112"/>
      <c r="AD61" s="112"/>
      <c r="AE61" s="112">
        <v>12</v>
      </c>
      <c r="AF61" s="112"/>
      <c r="AG61" s="112"/>
      <c r="AH61" s="112">
        <v>12</v>
      </c>
      <c r="AI61" s="112"/>
      <c r="AJ61" s="112"/>
      <c r="AK61" s="112">
        <v>12</v>
      </c>
      <c r="AL61" s="112"/>
      <c r="AM61" s="112"/>
      <c r="AN61" s="67"/>
      <c r="AO61" s="109">
        <f t="shared" si="15"/>
        <v>126</v>
      </c>
      <c r="AP61" s="109"/>
      <c r="AQ61" s="109"/>
      <c r="AR61" s="109"/>
    </row>
    <row r="62" spans="1:44" ht="12.75">
      <c r="A62" s="111" t="s">
        <v>263</v>
      </c>
      <c r="B62" s="111"/>
      <c r="C62" s="111"/>
      <c r="D62" s="111"/>
      <c r="E62" s="111"/>
      <c r="F62" s="111"/>
      <c r="G62" s="109">
        <f>G61*5.25+$F$1*G39/100</f>
        <v>47.25</v>
      </c>
      <c r="H62" s="109"/>
      <c r="I62" s="109"/>
      <c r="J62" s="109">
        <f>J61*5.25+$F$1*J39/100</f>
        <v>52.5</v>
      </c>
      <c r="K62" s="109"/>
      <c r="L62" s="109"/>
      <c r="M62" s="109">
        <f>M61*5.25+$F$1*M39/100</f>
        <v>57.75</v>
      </c>
      <c r="N62" s="109"/>
      <c r="O62" s="109"/>
      <c r="P62" s="109">
        <f>P61*5.25+$F$1*P39/100</f>
        <v>63</v>
      </c>
      <c r="Q62" s="109"/>
      <c r="R62" s="109"/>
      <c r="S62" s="109">
        <f>S61*5.25+$F$1*S39/100</f>
        <v>63</v>
      </c>
      <c r="T62" s="109"/>
      <c r="U62" s="109"/>
      <c r="V62" s="109">
        <f>V61*5.25+$F$1*V39/100</f>
        <v>63</v>
      </c>
      <c r="W62" s="109"/>
      <c r="X62" s="109"/>
      <c r="Y62" s="109">
        <f>Y61*5.25+$F$1*Y39/100</f>
        <v>63</v>
      </c>
      <c r="Z62" s="109"/>
      <c r="AA62" s="109"/>
      <c r="AB62" s="109">
        <f>AB61*5.25+$F$1*AB39/100</f>
        <v>63</v>
      </c>
      <c r="AC62" s="109"/>
      <c r="AD62" s="109"/>
      <c r="AE62" s="109">
        <f>AE61*5.25+$F$1*AE39/100</f>
        <v>63</v>
      </c>
      <c r="AF62" s="109"/>
      <c r="AG62" s="109"/>
      <c r="AH62" s="109">
        <f>AH61*5.25+$F$1*AH39/100</f>
        <v>63</v>
      </c>
      <c r="AI62" s="109"/>
      <c r="AJ62" s="109"/>
      <c r="AK62" s="109">
        <f>AK61*5.25+$F$1*AK39/100</f>
        <v>63</v>
      </c>
      <c r="AL62" s="109"/>
      <c r="AM62" s="109"/>
      <c r="AN62" s="67"/>
      <c r="AO62" s="109">
        <f t="shared" si="15"/>
        <v>661.5</v>
      </c>
      <c r="AP62" s="109"/>
      <c r="AQ62" s="109"/>
      <c r="AR62" s="109"/>
    </row>
    <row r="63" spans="1:44" ht="12.75">
      <c r="A63" s="111" t="s">
        <v>264</v>
      </c>
      <c r="B63" s="111"/>
      <c r="C63" s="111"/>
      <c r="D63" s="111"/>
      <c r="E63" s="111"/>
      <c r="F63" s="111"/>
      <c r="G63" s="109">
        <f>G62/G39*100</f>
        <v>2.1664374140302614</v>
      </c>
      <c r="H63" s="109"/>
      <c r="I63" s="109"/>
      <c r="J63" s="109">
        <f>J62/J39*100</f>
        <v>1.3125</v>
      </c>
      <c r="K63" s="109"/>
      <c r="L63" s="109"/>
      <c r="M63" s="109">
        <f>M62/M39*100</f>
        <v>0.9779847586790855</v>
      </c>
      <c r="N63" s="109"/>
      <c r="O63" s="109"/>
      <c r="P63" s="109">
        <f>P62/P39*100</f>
        <v>0.7608695652173914</v>
      </c>
      <c r="Q63" s="109"/>
      <c r="R63" s="109"/>
      <c r="S63" s="109">
        <f>S62/S39*100</f>
        <v>0.5758683729433273</v>
      </c>
      <c r="T63" s="109"/>
      <c r="U63" s="109"/>
      <c r="V63" s="109">
        <f>V62/V39*100</f>
        <v>0.4846153846153846</v>
      </c>
      <c r="W63" s="109"/>
      <c r="X63" s="109"/>
      <c r="Y63" s="109">
        <f>Y62/Y39*100</f>
        <v>0.43568464730290457</v>
      </c>
      <c r="Z63" s="109"/>
      <c r="AA63" s="109"/>
      <c r="AB63" s="109">
        <f>AB62/AB39*100</f>
        <v>0.41015625</v>
      </c>
      <c r="AC63" s="109"/>
      <c r="AD63" s="109"/>
      <c r="AE63" s="109">
        <f>AE62/AE39*100</f>
        <v>0.399746192893401</v>
      </c>
      <c r="AF63" s="109"/>
      <c r="AG63" s="109"/>
      <c r="AH63" s="109">
        <f>AH62/AH39*100</f>
        <v>0.39473684210526316</v>
      </c>
      <c r="AI63" s="109"/>
      <c r="AJ63" s="109"/>
      <c r="AK63" s="109">
        <f>AK62/AK39*100</f>
        <v>0.39473684210526316</v>
      </c>
      <c r="AL63" s="109"/>
      <c r="AM63" s="109"/>
      <c r="AN63" s="67"/>
      <c r="AO63" s="109">
        <f t="shared" si="15"/>
        <v>8.313336269892282</v>
      </c>
      <c r="AP63" s="109"/>
      <c r="AQ63" s="109"/>
      <c r="AR63" s="109"/>
    </row>
    <row r="64" spans="1:44" ht="12.75">
      <c r="A64" s="111" t="s">
        <v>269</v>
      </c>
      <c r="B64" s="111"/>
      <c r="C64" s="111"/>
      <c r="D64" s="111"/>
      <c r="E64" s="111"/>
      <c r="F64" s="111"/>
      <c r="G64" s="109">
        <f>G63-4+$A$1</f>
        <v>1.6217005719249982</v>
      </c>
      <c r="H64" s="109"/>
      <c r="I64" s="109"/>
      <c r="J64" s="109">
        <f>J63-4+$A$1</f>
        <v>0.7677631578947368</v>
      </c>
      <c r="K64" s="109"/>
      <c r="L64" s="109"/>
      <c r="M64" s="109">
        <f>M63-4+$A$1</f>
        <v>0.43324791657382233</v>
      </c>
      <c r="N64" s="109"/>
      <c r="O64" s="109"/>
      <c r="P64" s="109">
        <f>P63-4+$A$1</f>
        <v>0.2161327231121284</v>
      </c>
      <c r="Q64" s="109"/>
      <c r="R64" s="109"/>
      <c r="S64" s="109">
        <f>S63-4+$A$1</f>
        <v>0.03113153083806397</v>
      </c>
      <c r="T64" s="109"/>
      <c r="U64" s="109"/>
      <c r="V64" s="109">
        <f>V63-4+$A$1</f>
        <v>-0.060121457489878516</v>
      </c>
      <c r="W64" s="109"/>
      <c r="X64" s="109"/>
      <c r="Y64" s="109">
        <f>Y63-4+$A$1</f>
        <v>-0.1090521948023584</v>
      </c>
      <c r="Z64" s="109"/>
      <c r="AA64" s="109"/>
      <c r="AB64" s="109">
        <f>AB63-4+$A$1</f>
        <v>-0.13458059210526319</v>
      </c>
      <c r="AC64" s="109"/>
      <c r="AD64" s="109"/>
      <c r="AE64" s="109">
        <f>AE63-4+$A$1</f>
        <v>-0.144990649211862</v>
      </c>
      <c r="AF64" s="109"/>
      <c r="AG64" s="109"/>
      <c r="AH64" s="109">
        <f>AH63-4+$A$1</f>
        <v>-0.1499999999999999</v>
      </c>
      <c r="AI64" s="109"/>
      <c r="AJ64" s="109"/>
      <c r="AK64" s="109">
        <f>AK63-4+$A$1</f>
        <v>-0.1499999999999999</v>
      </c>
      <c r="AL64" s="109"/>
      <c r="AM64" s="109"/>
      <c r="AN64" s="67"/>
      <c r="AO64" s="109">
        <f t="shared" si="15"/>
        <v>2.3212310067343878</v>
      </c>
      <c r="AP64" s="109"/>
      <c r="AQ64" s="109"/>
      <c r="AR64" s="109"/>
    </row>
    <row r="65" spans="1:44" ht="12.75">
      <c r="A65" s="111" t="s">
        <v>265</v>
      </c>
      <c r="B65" s="111"/>
      <c r="C65" s="111"/>
      <c r="D65" s="111"/>
      <c r="E65" s="111"/>
      <c r="F65" s="111"/>
      <c r="G65" s="109">
        <f>G64*G39/100</f>
        <v>35.36928947368421</v>
      </c>
      <c r="H65" s="109"/>
      <c r="I65" s="109"/>
      <c r="J65" s="109">
        <f>J64*J39/100</f>
        <v>30.71052631578947</v>
      </c>
      <c r="K65" s="109"/>
      <c r="L65" s="109"/>
      <c r="M65" s="109">
        <f>M64*M39/100</f>
        <v>25.583289473684207</v>
      </c>
      <c r="N65" s="109"/>
      <c r="O65" s="109"/>
      <c r="P65" s="109">
        <f>P64*P39/100</f>
        <v>17.895789473684232</v>
      </c>
      <c r="Q65" s="109"/>
      <c r="R65" s="109"/>
      <c r="S65" s="109">
        <f>S64*S39/100</f>
        <v>3.4057894736841985</v>
      </c>
      <c r="T65" s="109"/>
      <c r="U65" s="109"/>
      <c r="V65" s="109">
        <f>V64*V39/100</f>
        <v>-7.815789473684207</v>
      </c>
      <c r="W65" s="109"/>
      <c r="X65" s="109"/>
      <c r="Y65" s="109">
        <f>Y64*Y39/100</f>
        <v>-15.768947368421024</v>
      </c>
      <c r="Z65" s="109"/>
      <c r="AA65" s="109"/>
      <c r="AB65" s="109">
        <f>AB64*AB39/100</f>
        <v>-20.671578947368424</v>
      </c>
      <c r="AC65" s="109"/>
      <c r="AD65" s="109"/>
      <c r="AE65" s="109">
        <f>AE64*AE39/100</f>
        <v>-22.850526315789452</v>
      </c>
      <c r="AF65" s="109"/>
      <c r="AG65" s="109"/>
      <c r="AH65" s="109">
        <f>AH64*AH39/100</f>
        <v>-23.939999999999987</v>
      </c>
      <c r="AI65" s="109"/>
      <c r="AJ65" s="109"/>
      <c r="AK65" s="109">
        <f>AK64*AK39/100</f>
        <v>-23.939999999999987</v>
      </c>
      <c r="AL65" s="109"/>
      <c r="AM65" s="109"/>
      <c r="AN65" s="67"/>
      <c r="AO65" s="109">
        <f t="shared" si="15"/>
        <v>-2.0221578947367718</v>
      </c>
      <c r="AP65" s="109"/>
      <c r="AQ65" s="109"/>
      <c r="AR65" s="109"/>
    </row>
    <row r="66" spans="1:44" ht="12.75">
      <c r="A66" s="111" t="s">
        <v>266</v>
      </c>
      <c r="B66" s="111"/>
      <c r="C66" s="111"/>
      <c r="D66" s="111"/>
      <c r="E66" s="111"/>
      <c r="F66" s="111"/>
      <c r="G66" s="109">
        <f>G65+G48</f>
        <v>250.85350000000003</v>
      </c>
      <c r="H66" s="109"/>
      <c r="I66" s="109"/>
      <c r="J66" s="109">
        <f>J65+J48</f>
        <v>231.60000000000002</v>
      </c>
      <c r="K66" s="109"/>
      <c r="L66" s="109"/>
      <c r="M66" s="109">
        <f>M65+M48</f>
        <v>211.46750000000003</v>
      </c>
      <c r="N66" s="109"/>
      <c r="O66" s="109"/>
      <c r="P66" s="109">
        <f>P65+P48</f>
        <v>179.58000000000007</v>
      </c>
      <c r="Q66" s="109"/>
      <c r="R66" s="109"/>
      <c r="S66" s="109">
        <f>S65+S48</f>
        <v>109.08999999999999</v>
      </c>
      <c r="T66" s="109"/>
      <c r="U66" s="109"/>
      <c r="V66" s="109">
        <f>V65+V48</f>
        <v>54.50000000000003</v>
      </c>
      <c r="W66" s="109"/>
      <c r="X66" s="109"/>
      <c r="Y66" s="109">
        <f>Y65+Y48</f>
        <v>15.81000000000003</v>
      </c>
      <c r="Z66" s="109"/>
      <c r="AA66" s="109"/>
      <c r="AB66" s="109">
        <f>AB65+AB48</f>
        <v>-8.040000000000003</v>
      </c>
      <c r="AC66" s="109"/>
      <c r="AD66" s="109"/>
      <c r="AE66" s="109">
        <f>AE65+AE48</f>
        <v>-18.639999999999972</v>
      </c>
      <c r="AF66" s="109"/>
      <c r="AG66" s="109"/>
      <c r="AH66" s="109">
        <f>AH65+AH48</f>
        <v>-23.939999999999987</v>
      </c>
      <c r="AI66" s="109"/>
      <c r="AJ66" s="109"/>
      <c r="AK66" s="109">
        <f>AK65+AK48</f>
        <v>-23.939999999999987</v>
      </c>
      <c r="AL66" s="109"/>
      <c r="AM66" s="109"/>
      <c r="AN66" s="67"/>
      <c r="AO66" s="109">
        <f t="shared" si="15"/>
        <v>978.3410000000003</v>
      </c>
      <c r="AP66" s="109"/>
      <c r="AQ66" s="109"/>
      <c r="AR66" s="109"/>
    </row>
    <row r="67" spans="1:44" ht="12.75">
      <c r="A67" s="111" t="s">
        <v>267</v>
      </c>
      <c r="B67" s="111"/>
      <c r="C67" s="111"/>
      <c r="D67" s="111"/>
      <c r="E67" s="111"/>
      <c r="F67" s="111"/>
      <c r="G67" s="109">
        <f>G66/G39*100</f>
        <v>11.501765245300321</v>
      </c>
      <c r="H67" s="109"/>
      <c r="I67" s="109"/>
      <c r="J67" s="109">
        <f>J66/J39*100</f>
        <v>5.790000000000001</v>
      </c>
      <c r="K67" s="109"/>
      <c r="L67" s="109"/>
      <c r="M67" s="109">
        <f>M66/M39*100</f>
        <v>3.581160033869603</v>
      </c>
      <c r="N67" s="109"/>
      <c r="O67" s="109"/>
      <c r="P67" s="109">
        <f>P66/P39*100</f>
        <v>2.168840579710146</v>
      </c>
      <c r="Q67" s="109"/>
      <c r="R67" s="109"/>
      <c r="S67" s="109">
        <f>S66/S39*100</f>
        <v>0.9971663619744057</v>
      </c>
      <c r="T67" s="109"/>
      <c r="U67" s="109"/>
      <c r="V67" s="109">
        <f>V66/V39*100</f>
        <v>0.41923076923076946</v>
      </c>
      <c r="W67" s="109"/>
      <c r="X67" s="109"/>
      <c r="Y67" s="109">
        <f>Y66/Y39*100</f>
        <v>0.10933609958506245</v>
      </c>
      <c r="Z67" s="109"/>
      <c r="AA67" s="109"/>
      <c r="AB67" s="109">
        <f>AB66/AB39*100</f>
        <v>-0.052343750000000015</v>
      </c>
      <c r="AC67" s="109"/>
      <c r="AD67" s="109"/>
      <c r="AE67" s="109">
        <f>AE66/AE39*100</f>
        <v>-0.11827411167512672</v>
      </c>
      <c r="AF67" s="109"/>
      <c r="AG67" s="109"/>
      <c r="AH67" s="109">
        <f>AH66/AH39*100</f>
        <v>-0.1499999999999999</v>
      </c>
      <c r="AI67" s="109"/>
      <c r="AJ67" s="109"/>
      <c r="AK67" s="109">
        <f>AK66/AK39*100</f>
        <v>-0.1499999999999999</v>
      </c>
      <c r="AL67" s="109"/>
      <c r="AM67" s="109"/>
      <c r="AN67" s="67"/>
      <c r="AO67" s="109">
        <f t="shared" si="15"/>
        <v>24.096881227995183</v>
      </c>
      <c r="AP67" s="109"/>
      <c r="AQ67" s="109"/>
      <c r="AR67" s="109"/>
    </row>
    <row r="68" spans="1:44" ht="12.75">
      <c r="A68" s="111" t="s">
        <v>268</v>
      </c>
      <c r="B68" s="111"/>
      <c r="C68" s="111"/>
      <c r="D68" s="111"/>
      <c r="E68" s="111"/>
      <c r="F68" s="111"/>
      <c r="G68" s="109">
        <f>G67+4</f>
        <v>15.501765245300321</v>
      </c>
      <c r="H68" s="109"/>
      <c r="I68" s="109"/>
      <c r="J68" s="109">
        <f>J67+4</f>
        <v>9.790000000000001</v>
      </c>
      <c r="K68" s="109"/>
      <c r="L68" s="109"/>
      <c r="M68" s="109">
        <f>M67+4</f>
        <v>7.581160033869603</v>
      </c>
      <c r="N68" s="109"/>
      <c r="O68" s="109"/>
      <c r="P68" s="109">
        <f>P67+4</f>
        <v>6.168840579710146</v>
      </c>
      <c r="Q68" s="109"/>
      <c r="R68" s="109"/>
      <c r="S68" s="109">
        <f>S67+4</f>
        <v>4.997166361974406</v>
      </c>
      <c r="T68" s="109"/>
      <c r="U68" s="109"/>
      <c r="V68" s="109">
        <f>V67+4</f>
        <v>4.4192307692307695</v>
      </c>
      <c r="W68" s="109"/>
      <c r="X68" s="109"/>
      <c r="Y68" s="109">
        <f>Y67+4</f>
        <v>4.109336099585063</v>
      </c>
      <c r="Z68" s="109"/>
      <c r="AA68" s="109"/>
      <c r="AB68" s="109">
        <f>AB67+4</f>
        <v>3.94765625</v>
      </c>
      <c r="AC68" s="109"/>
      <c r="AD68" s="109"/>
      <c r="AE68" s="109">
        <f>AE67+4</f>
        <v>3.881725888324873</v>
      </c>
      <c r="AF68" s="109"/>
      <c r="AG68" s="109"/>
      <c r="AH68" s="109">
        <f>AH67+4</f>
        <v>3.85</v>
      </c>
      <c r="AI68" s="109"/>
      <c r="AJ68" s="109"/>
      <c r="AK68" s="109">
        <f>AK67+4</f>
        <v>3.85</v>
      </c>
      <c r="AL68" s="109"/>
      <c r="AM68" s="109"/>
      <c r="AN68" s="67"/>
      <c r="AO68" s="109">
        <f t="shared" si="15"/>
        <v>68.09688122799518</v>
      </c>
      <c r="AP68" s="109"/>
      <c r="AQ68" s="109"/>
      <c r="AR68" s="109"/>
    </row>
    <row r="69" spans="1:44" ht="12.75">
      <c r="A69" s="111" t="s">
        <v>285</v>
      </c>
      <c r="B69" s="111"/>
      <c r="C69" s="111"/>
      <c r="D69" s="111"/>
      <c r="E69" s="111"/>
      <c r="F69" s="111"/>
      <c r="G69" s="112">
        <f>G61*5.25</f>
        <v>47.25</v>
      </c>
      <c r="H69" s="112"/>
      <c r="I69" s="112"/>
      <c r="J69" s="112">
        <f>J61*5.25</f>
        <v>52.5</v>
      </c>
      <c r="K69" s="112"/>
      <c r="L69" s="112"/>
      <c r="M69" s="112">
        <f>M61*5.25</f>
        <v>57.75</v>
      </c>
      <c r="N69" s="112"/>
      <c r="O69" s="112"/>
      <c r="P69" s="112">
        <f>P61*5.25</f>
        <v>63</v>
      </c>
      <c r="Q69" s="112"/>
      <c r="R69" s="112"/>
      <c r="S69" s="112">
        <f>S61*5.25</f>
        <v>63</v>
      </c>
      <c r="T69" s="112"/>
      <c r="U69" s="112"/>
      <c r="V69" s="112">
        <f>V61*5.25</f>
        <v>63</v>
      </c>
      <c r="W69" s="112"/>
      <c r="X69" s="112"/>
      <c r="Y69" s="112">
        <f>Y61*5.25</f>
        <v>63</v>
      </c>
      <c r="Z69" s="112"/>
      <c r="AA69" s="112"/>
      <c r="AB69" s="112">
        <f>AB61*5.25</f>
        <v>63</v>
      </c>
      <c r="AC69" s="112"/>
      <c r="AD69" s="112"/>
      <c r="AE69" s="112">
        <f>AE61*5.25</f>
        <v>63</v>
      </c>
      <c r="AF69" s="112"/>
      <c r="AG69" s="112"/>
      <c r="AH69" s="112">
        <f>AH61*5.25</f>
        <v>63</v>
      </c>
      <c r="AI69" s="112"/>
      <c r="AJ69" s="112"/>
      <c r="AK69" s="112">
        <f>AK61*5.25</f>
        <v>63</v>
      </c>
      <c r="AL69" s="112"/>
      <c r="AM69" s="112"/>
      <c r="AN69" s="67"/>
      <c r="AO69" s="109">
        <f>SUM(G69:AM69)</f>
        <v>661.5</v>
      </c>
      <c r="AP69" s="109"/>
      <c r="AQ69" s="109"/>
      <c r="AR69" s="109"/>
    </row>
    <row r="70" spans="1:46" ht="12.75">
      <c r="A70" s="71"/>
      <c r="B70" s="71"/>
      <c r="C70" s="71"/>
      <c r="D70" s="71"/>
      <c r="E70" s="71"/>
      <c r="F70" s="71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1:46" ht="12.75">
      <c r="A71" s="71"/>
      <c r="B71" s="71"/>
      <c r="C71" s="71"/>
      <c r="D71" s="71"/>
      <c r="E71" s="71"/>
      <c r="F71" s="71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1:46" ht="12.75">
      <c r="A72" s="71"/>
      <c r="B72" s="71"/>
      <c r="C72" s="71"/>
      <c r="D72" s="71"/>
      <c r="E72" s="71"/>
      <c r="F72" s="71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1:46" ht="12.75">
      <c r="A73" s="71"/>
      <c r="B73" s="71"/>
      <c r="C73" s="71"/>
      <c r="D73" s="71"/>
      <c r="E73" s="71"/>
      <c r="F73" s="71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1:46" ht="12.75">
      <c r="A74" s="71"/>
      <c r="B74" s="71"/>
      <c r="C74" s="71"/>
      <c r="D74" s="71"/>
      <c r="E74" s="71"/>
      <c r="F74" s="71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1:46" ht="12.75">
      <c r="A75" s="111" t="s">
        <v>236</v>
      </c>
      <c r="B75" s="111"/>
      <c r="C75" s="111"/>
      <c r="D75" s="111"/>
      <c r="E75" s="111"/>
      <c r="F75" s="111"/>
      <c r="I75" s="110" t="s">
        <v>153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7">
        <v>1</v>
      </c>
      <c r="U75" s="117"/>
      <c r="W75" s="110" t="s">
        <v>125</v>
      </c>
      <c r="X75" s="110"/>
      <c r="Y75" s="110"/>
      <c r="Z75" s="110"/>
      <c r="AA75" s="118">
        <v>1</v>
      </c>
      <c r="AB75" s="118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1:44" ht="12.75" customHeight="1">
      <c r="A76" s="72"/>
      <c r="B76" s="72"/>
      <c r="C76" s="72"/>
      <c r="D76" s="72"/>
      <c r="E76" s="72"/>
      <c r="F76" s="72"/>
      <c r="G76" s="110" t="s">
        <v>11</v>
      </c>
      <c r="H76" s="110"/>
      <c r="I76" s="110"/>
      <c r="J76" s="110" t="s">
        <v>12</v>
      </c>
      <c r="K76" s="110"/>
      <c r="L76" s="110"/>
      <c r="M76" s="110" t="s">
        <v>13</v>
      </c>
      <c r="N76" s="110"/>
      <c r="O76" s="110"/>
      <c r="P76" s="110" t="s">
        <v>14</v>
      </c>
      <c r="Q76" s="110"/>
      <c r="R76" s="110"/>
      <c r="S76" s="110" t="s">
        <v>15</v>
      </c>
      <c r="T76" s="110"/>
      <c r="U76" s="110"/>
      <c r="V76" s="110" t="s">
        <v>16</v>
      </c>
      <c r="W76" s="110"/>
      <c r="X76" s="110"/>
      <c r="Y76" s="110" t="s">
        <v>17</v>
      </c>
      <c r="Z76" s="110"/>
      <c r="AA76" s="110"/>
      <c r="AB76" s="110" t="s">
        <v>18</v>
      </c>
      <c r="AC76" s="110"/>
      <c r="AD76" s="110"/>
      <c r="AE76" s="110" t="s">
        <v>19</v>
      </c>
      <c r="AF76" s="110"/>
      <c r="AG76" s="110"/>
      <c r="AH76" s="110" t="s">
        <v>20</v>
      </c>
      <c r="AI76" s="110"/>
      <c r="AJ76" s="110"/>
      <c r="AK76" s="110" t="s">
        <v>21</v>
      </c>
      <c r="AL76" s="110"/>
      <c r="AM76" s="110"/>
      <c r="AO76" s="110" t="s">
        <v>22</v>
      </c>
      <c r="AP76" s="110"/>
      <c r="AQ76" s="110"/>
      <c r="AR76" s="110"/>
    </row>
    <row r="77" spans="1:44" ht="12.75">
      <c r="A77" s="119" t="s">
        <v>126</v>
      </c>
      <c r="B77" s="119"/>
      <c r="C77" s="119"/>
      <c r="D77" s="119"/>
      <c r="E77" s="119"/>
      <c r="F77" s="119"/>
      <c r="G77" s="109">
        <f>G42*$AA$75</f>
        <v>2180</v>
      </c>
      <c r="H77" s="109"/>
      <c r="I77" s="109"/>
      <c r="J77" s="109">
        <f>J42*$AA$75</f>
        <v>4000</v>
      </c>
      <c r="K77" s="109"/>
      <c r="L77" s="109"/>
      <c r="M77" s="109">
        <f>M42*$AA$75</f>
        <v>5905</v>
      </c>
      <c r="N77" s="109"/>
      <c r="O77" s="109"/>
      <c r="P77" s="109">
        <f>P42*$AA$75</f>
        <v>8280</v>
      </c>
      <c r="Q77" s="109"/>
      <c r="R77" s="109"/>
      <c r="S77" s="109">
        <f>S42*$AA$75</f>
        <v>10940</v>
      </c>
      <c r="T77" s="109"/>
      <c r="U77" s="109"/>
      <c r="V77" s="109">
        <f>V42*$AA$75</f>
        <v>13000</v>
      </c>
      <c r="W77" s="109"/>
      <c r="X77" s="109"/>
      <c r="Y77" s="109">
        <f>Y42*$AA$75</f>
        <v>13060</v>
      </c>
      <c r="Z77" s="109"/>
      <c r="AA77" s="109"/>
      <c r="AB77" s="109">
        <f>AB42*$AA$75</f>
        <v>13960</v>
      </c>
      <c r="AC77" s="109"/>
      <c r="AD77" s="109"/>
      <c r="AE77" s="109">
        <f>AE42*$AA$75</f>
        <v>14360</v>
      </c>
      <c r="AF77" s="109"/>
      <c r="AG77" s="109"/>
      <c r="AH77" s="109">
        <f>AH42*$AA$75</f>
        <v>14560</v>
      </c>
      <c r="AI77" s="109"/>
      <c r="AJ77" s="109"/>
      <c r="AK77" s="109">
        <f>AK42*$AA$75</f>
        <v>16940</v>
      </c>
      <c r="AL77" s="109"/>
      <c r="AM77" s="109"/>
      <c r="AO77" s="109">
        <f aca="true" t="shared" si="16" ref="AO77:AO83">SUM(G77:AM77)</f>
        <v>117185</v>
      </c>
      <c r="AP77" s="114"/>
      <c r="AQ77" s="114"/>
      <c r="AR77" s="114"/>
    </row>
    <row r="78" spans="1:44" ht="12.75">
      <c r="A78" s="110" t="s">
        <v>127</v>
      </c>
      <c r="B78" s="110"/>
      <c r="C78" s="110"/>
      <c r="D78" s="110"/>
      <c r="E78" s="110"/>
      <c r="F78" s="110"/>
      <c r="G78" s="109">
        <f>G42*$T$75</f>
        <v>2180</v>
      </c>
      <c r="H78" s="109"/>
      <c r="I78" s="109"/>
      <c r="J78" s="109">
        <f>J42*$T$75</f>
        <v>4000</v>
      </c>
      <c r="K78" s="109"/>
      <c r="L78" s="109"/>
      <c r="M78" s="109">
        <f>M42*$T$75</f>
        <v>5905</v>
      </c>
      <c r="N78" s="109"/>
      <c r="O78" s="109"/>
      <c r="P78" s="109">
        <f>P42*$T$75</f>
        <v>8280</v>
      </c>
      <c r="Q78" s="109"/>
      <c r="R78" s="109"/>
      <c r="S78" s="109">
        <f>S42*$T$75</f>
        <v>10940</v>
      </c>
      <c r="T78" s="109"/>
      <c r="U78" s="109"/>
      <c r="V78" s="109">
        <f>V42*$T$75</f>
        <v>13000</v>
      </c>
      <c r="W78" s="109"/>
      <c r="X78" s="109"/>
      <c r="Y78" s="109">
        <f>Y42*$T$75</f>
        <v>13060</v>
      </c>
      <c r="Z78" s="109"/>
      <c r="AA78" s="109"/>
      <c r="AB78" s="109">
        <f>AB42*$T$75</f>
        <v>13960</v>
      </c>
      <c r="AC78" s="109"/>
      <c r="AD78" s="109"/>
      <c r="AE78" s="109">
        <f>AE42*$T$75</f>
        <v>14360</v>
      </c>
      <c r="AF78" s="109"/>
      <c r="AG78" s="109"/>
      <c r="AH78" s="109">
        <f>AH42*$T$75</f>
        <v>14560</v>
      </c>
      <c r="AI78" s="109"/>
      <c r="AJ78" s="109"/>
      <c r="AK78" s="109">
        <f>AK42*$T$75</f>
        <v>16940</v>
      </c>
      <c r="AL78" s="109"/>
      <c r="AM78" s="109"/>
      <c r="AO78" s="109">
        <f t="shared" si="16"/>
        <v>117185</v>
      </c>
      <c r="AP78" s="114"/>
      <c r="AQ78" s="114"/>
      <c r="AR78" s="114"/>
    </row>
    <row r="79" spans="1:44" ht="12.75">
      <c r="A79" s="110" t="s">
        <v>25</v>
      </c>
      <c r="B79" s="110"/>
      <c r="C79" s="110"/>
      <c r="D79" s="110"/>
      <c r="E79" s="110"/>
      <c r="F79" s="110"/>
      <c r="G79" s="109">
        <f>'ЦФУ Закупка'!$W20</f>
        <v>50</v>
      </c>
      <c r="H79" s="109"/>
      <c r="I79" s="109"/>
      <c r="J79" s="109">
        <f>'ЦФУ Закупка'!$W34</f>
        <v>50</v>
      </c>
      <c r="K79" s="109"/>
      <c r="L79" s="109"/>
      <c r="M79" s="109">
        <f>'ЦФУ Закупка'!$W48</f>
        <v>50</v>
      </c>
      <c r="N79" s="109"/>
      <c r="O79" s="109"/>
      <c r="P79" s="109">
        <f>'ЦФУ Закупка'!$W62</f>
        <v>50</v>
      </c>
      <c r="Q79" s="109"/>
      <c r="R79" s="109"/>
      <c r="S79" s="109">
        <f>'ЦФУ Закупка'!$W76</f>
        <v>50</v>
      </c>
      <c r="T79" s="109"/>
      <c r="U79" s="109"/>
      <c r="V79" s="109">
        <f>'ЦФУ Закупка'!$W90</f>
        <v>51.5</v>
      </c>
      <c r="W79" s="109"/>
      <c r="X79" s="109"/>
      <c r="Y79" s="109">
        <f>'ЦФУ Закупка'!$W104</f>
        <v>51.71</v>
      </c>
      <c r="Z79" s="109"/>
      <c r="AA79" s="109"/>
      <c r="AB79" s="109">
        <f>'ЦФУ Закупка'!$W118</f>
        <v>54.86</v>
      </c>
      <c r="AC79" s="109"/>
      <c r="AD79" s="109"/>
      <c r="AE79" s="109">
        <f>'ЦФУ Закупка'!$W132</f>
        <v>55</v>
      </c>
      <c r="AF79" s="109"/>
      <c r="AG79" s="109"/>
      <c r="AH79" s="109">
        <f>'ЦФУ Закупка'!$W146</f>
        <v>55</v>
      </c>
      <c r="AI79" s="109"/>
      <c r="AJ79" s="109"/>
      <c r="AK79" s="109">
        <f>'ЦФУ Закупка'!$W160</f>
        <v>55.480000000000004</v>
      </c>
      <c r="AL79" s="109"/>
      <c r="AM79" s="109"/>
      <c r="AO79" s="109">
        <f t="shared" si="16"/>
        <v>573.55</v>
      </c>
      <c r="AP79" s="114"/>
      <c r="AQ79" s="114"/>
      <c r="AR79" s="114"/>
    </row>
    <row r="80" spans="1:44" ht="12.75">
      <c r="A80" s="110" t="s">
        <v>77</v>
      </c>
      <c r="B80" s="110"/>
      <c r="C80" s="110"/>
      <c r="D80" s="110"/>
      <c r="E80" s="110"/>
      <c r="F80" s="110"/>
      <c r="G80" s="109">
        <f>'ЦФУ Закупка'!$W14</f>
        <v>33.8</v>
      </c>
      <c r="H80" s="109"/>
      <c r="I80" s="109"/>
      <c r="J80" s="109">
        <f>'ЦФУ Закупка'!$W28</f>
        <v>33.8</v>
      </c>
      <c r="K80" s="109"/>
      <c r="L80" s="109"/>
      <c r="M80" s="109">
        <f>'ЦФУ Закупка'!$W42</f>
        <v>33.8</v>
      </c>
      <c r="N80" s="109"/>
      <c r="O80" s="109"/>
      <c r="P80" s="109">
        <f>'ЦФУ Закупка'!$W56</f>
        <v>33.8</v>
      </c>
      <c r="Q80" s="109"/>
      <c r="R80" s="109"/>
      <c r="S80" s="109">
        <f>'ЦФУ Закупка'!$W70</f>
        <v>33.8</v>
      </c>
      <c r="T80" s="109"/>
      <c r="U80" s="109"/>
      <c r="V80" s="109">
        <f>'ЦФУ Закупка'!$W84</f>
        <v>33.8</v>
      </c>
      <c r="W80" s="109"/>
      <c r="X80" s="109"/>
      <c r="Y80" s="109">
        <f>'ЦФУ Закупка'!$W98</f>
        <v>33.8</v>
      </c>
      <c r="Z80" s="109"/>
      <c r="AA80" s="109"/>
      <c r="AB80" s="109">
        <f>'ЦФУ Закупка'!$W112</f>
        <v>33.8</v>
      </c>
      <c r="AC80" s="109"/>
      <c r="AD80" s="109"/>
      <c r="AE80" s="109">
        <f>'ЦФУ Закупка'!$W126</f>
        <v>33.8</v>
      </c>
      <c r="AF80" s="109"/>
      <c r="AG80" s="109"/>
      <c r="AH80" s="109">
        <f>'ЦФУ Закупка'!$W140</f>
        <v>33.8</v>
      </c>
      <c r="AI80" s="109"/>
      <c r="AJ80" s="109"/>
      <c r="AK80" s="109">
        <f>'ЦФУ Закупка'!$W154</f>
        <v>33.8</v>
      </c>
      <c r="AL80" s="109"/>
      <c r="AM80" s="109"/>
      <c r="AO80" s="109">
        <f t="shared" si="16"/>
        <v>371.80000000000007</v>
      </c>
      <c r="AP80" s="114"/>
      <c r="AQ80" s="114"/>
      <c r="AR80" s="114"/>
    </row>
    <row r="81" spans="1:44" ht="12.75">
      <c r="A81" s="111" t="s">
        <v>78</v>
      </c>
      <c r="B81" s="111"/>
      <c r="C81" s="111"/>
      <c r="D81" s="111"/>
      <c r="E81" s="111"/>
      <c r="F81" s="111"/>
      <c r="G81" s="109">
        <f>G79+G80</f>
        <v>83.8</v>
      </c>
      <c r="H81" s="109"/>
      <c r="I81" s="109"/>
      <c r="J81" s="109">
        <f>J79+J80</f>
        <v>83.8</v>
      </c>
      <c r="K81" s="109"/>
      <c r="L81" s="109"/>
      <c r="M81" s="109">
        <f>M79+M80</f>
        <v>83.8</v>
      </c>
      <c r="N81" s="109"/>
      <c r="O81" s="109"/>
      <c r="P81" s="109">
        <f>P79+P80</f>
        <v>83.8</v>
      </c>
      <c r="Q81" s="109"/>
      <c r="R81" s="109"/>
      <c r="S81" s="109">
        <f>S79+S80</f>
        <v>83.8</v>
      </c>
      <c r="T81" s="109"/>
      <c r="U81" s="109"/>
      <c r="V81" s="109">
        <f>V79+V80</f>
        <v>85.3</v>
      </c>
      <c r="W81" s="109"/>
      <c r="X81" s="109"/>
      <c r="Y81" s="109">
        <f>Y79+Y80</f>
        <v>85.50999999999999</v>
      </c>
      <c r="Z81" s="109"/>
      <c r="AA81" s="109"/>
      <c r="AB81" s="109">
        <f>AB79+AB80</f>
        <v>88.66</v>
      </c>
      <c r="AC81" s="109"/>
      <c r="AD81" s="109"/>
      <c r="AE81" s="109">
        <f>AE79+AE80</f>
        <v>88.8</v>
      </c>
      <c r="AF81" s="109"/>
      <c r="AG81" s="109"/>
      <c r="AH81" s="109">
        <f>AH79+AH80</f>
        <v>88.8</v>
      </c>
      <c r="AI81" s="109"/>
      <c r="AJ81" s="109"/>
      <c r="AK81" s="109">
        <f>AK79+AK80</f>
        <v>89.28</v>
      </c>
      <c r="AL81" s="109"/>
      <c r="AM81" s="109"/>
      <c r="AO81" s="109">
        <f t="shared" si="16"/>
        <v>945.3499999999998</v>
      </c>
      <c r="AP81" s="114"/>
      <c r="AQ81" s="114"/>
      <c r="AR81" s="114"/>
    </row>
    <row r="82" spans="1:44" ht="12.75">
      <c r="A82" s="110" t="s">
        <v>168</v>
      </c>
      <c r="B82" s="110"/>
      <c r="C82" s="110"/>
      <c r="D82" s="110"/>
      <c r="E82" s="110"/>
      <c r="F82" s="110"/>
      <c r="G82" s="109">
        <f>'ЦФУ Закупка'!$AG9</f>
        <v>66.36</v>
      </c>
      <c r="H82" s="109"/>
      <c r="I82" s="109"/>
      <c r="J82" s="109">
        <f>'ЦФУ Закупка'!$AG23</f>
        <v>53.56</v>
      </c>
      <c r="K82" s="109"/>
      <c r="L82" s="109"/>
      <c r="M82" s="109">
        <f>'ЦФУ Закупка'!$AG37</f>
        <v>36.76</v>
      </c>
      <c r="N82" s="109"/>
      <c r="O82" s="109"/>
      <c r="P82" s="109">
        <f>'ЦФУ Закупка'!$AG51</f>
        <v>17.56</v>
      </c>
      <c r="Q82" s="109"/>
      <c r="R82" s="109"/>
      <c r="S82" s="109">
        <f>'ЦФУ Закупка'!$AG65</f>
        <v>0</v>
      </c>
      <c r="T82" s="109"/>
      <c r="U82" s="109"/>
      <c r="V82" s="109">
        <f>'ЦФУ Закупка'!$AG79</f>
        <v>0</v>
      </c>
      <c r="W82" s="109"/>
      <c r="X82" s="109"/>
      <c r="Y82" s="109">
        <f>'ЦФУ Закупка'!$AG93</f>
        <v>0</v>
      </c>
      <c r="Z82" s="109"/>
      <c r="AA82" s="109"/>
      <c r="AB82" s="109">
        <f>'ЦФУ Закупка'!$AG107</f>
        <v>0</v>
      </c>
      <c r="AC82" s="109"/>
      <c r="AD82" s="109"/>
      <c r="AE82" s="109">
        <f>'ЦФУ Закупка'!$AG121</f>
        <v>0</v>
      </c>
      <c r="AF82" s="109"/>
      <c r="AG82" s="109"/>
      <c r="AH82" s="109">
        <f>'ЦФУ Закупка'!$AG135</f>
        <v>0</v>
      </c>
      <c r="AI82" s="109"/>
      <c r="AJ82" s="109"/>
      <c r="AK82" s="109">
        <f>'ЦФУ Закупка'!$AG149</f>
        <v>0</v>
      </c>
      <c r="AL82" s="109"/>
      <c r="AM82" s="109"/>
      <c r="AO82" s="109">
        <f t="shared" si="16"/>
        <v>174.24</v>
      </c>
      <c r="AP82" s="114"/>
      <c r="AQ82" s="114"/>
      <c r="AR82" s="114"/>
    </row>
    <row r="83" spans="1:44" ht="12.75">
      <c r="A83" s="111" t="s">
        <v>224</v>
      </c>
      <c r="B83" s="111"/>
      <c r="C83" s="111"/>
      <c r="D83" s="111"/>
      <c r="E83" s="111"/>
      <c r="F83" s="111"/>
      <c r="G83" s="109">
        <f>'ЦФУ Закупка'!$AG11</f>
        <v>-68.976</v>
      </c>
      <c r="H83" s="109"/>
      <c r="I83" s="109"/>
      <c r="J83" s="109">
        <f>'ЦФУ Закупка'!$AG25</f>
        <v>-58.096</v>
      </c>
      <c r="K83" s="109"/>
      <c r="L83" s="109"/>
      <c r="M83" s="109">
        <f>'ЦФУ Закупка'!$AG39</f>
        <v>-43.815999999999995</v>
      </c>
      <c r="N83" s="109"/>
      <c r="O83" s="109"/>
      <c r="P83" s="109">
        <f>'ЦФУ Закупка'!$AG53</f>
        <v>-27.496000000000002</v>
      </c>
      <c r="Q83" s="109"/>
      <c r="R83" s="109"/>
      <c r="S83" s="109">
        <f>'ЦФУ Закупка'!$AG67</f>
        <v>-10.895999999999997</v>
      </c>
      <c r="T83" s="109"/>
      <c r="U83" s="109"/>
      <c r="V83" s="109">
        <f>'ЦФУ Закупка'!$AG81</f>
        <v>-4.379999999999999</v>
      </c>
      <c r="W83" s="109"/>
      <c r="X83" s="109"/>
      <c r="Y83" s="109">
        <f>'ЦФУ Закупка'!$AG95</f>
        <v>-4.290000000000003</v>
      </c>
      <c r="Z83" s="109"/>
      <c r="AA83" s="109"/>
      <c r="AB83" s="109">
        <f>'ЦФУ Закупка'!$AG109</f>
        <v>-2.9400000000000035</v>
      </c>
      <c r="AC83" s="109"/>
      <c r="AD83" s="109"/>
      <c r="AE83" s="109">
        <f>'ЦФУ Закупка'!$AG123</f>
        <v>-1.5839999999999983</v>
      </c>
      <c r="AF83" s="109"/>
      <c r="AG83" s="109"/>
      <c r="AH83" s="109">
        <f>'ЦФУ Закупка'!$AG137</f>
        <v>-0.8639999999999987</v>
      </c>
      <c r="AI83" s="109"/>
      <c r="AJ83" s="109"/>
      <c r="AK83" s="109">
        <f>'ЦФУ Закупка'!$AG151</f>
        <v>-1.1519999999999988</v>
      </c>
      <c r="AL83" s="109"/>
      <c r="AM83" s="109"/>
      <c r="AO83" s="109">
        <f t="shared" si="16"/>
        <v>-224.48999999999998</v>
      </c>
      <c r="AP83" s="114"/>
      <c r="AQ83" s="114"/>
      <c r="AR83" s="114"/>
    </row>
    <row r="84" spans="1:46" ht="12.75">
      <c r="A84" s="111" t="s">
        <v>131</v>
      </c>
      <c r="B84" s="111"/>
      <c r="C84" s="111"/>
      <c r="D84" s="111"/>
      <c r="E84" s="111"/>
      <c r="F84" s="111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7"/>
      <c r="U84" s="117"/>
      <c r="W84" s="110"/>
      <c r="X84" s="110"/>
      <c r="Y84" s="110"/>
      <c r="Z84" s="110"/>
      <c r="AA84" s="109"/>
      <c r="AB84" s="109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1:44" ht="12.75" customHeight="1">
      <c r="A85" s="72"/>
      <c r="B85" s="72"/>
      <c r="C85" s="72"/>
      <c r="D85" s="72"/>
      <c r="E85" s="72"/>
      <c r="F85" s="72"/>
      <c r="G85" s="110" t="s">
        <v>11</v>
      </c>
      <c r="H85" s="110"/>
      <c r="I85" s="110"/>
      <c r="J85" s="110" t="s">
        <v>12</v>
      </c>
      <c r="K85" s="110"/>
      <c r="L85" s="110"/>
      <c r="M85" s="110" t="s">
        <v>13</v>
      </c>
      <c r="N85" s="110"/>
      <c r="O85" s="110"/>
      <c r="P85" s="110" t="s">
        <v>14</v>
      </c>
      <c r="Q85" s="110"/>
      <c r="R85" s="110"/>
      <c r="S85" s="110" t="s">
        <v>15</v>
      </c>
      <c r="T85" s="110"/>
      <c r="U85" s="110"/>
      <c r="V85" s="110" t="s">
        <v>16</v>
      </c>
      <c r="W85" s="110"/>
      <c r="X85" s="110"/>
      <c r="Y85" s="110" t="s">
        <v>17</v>
      </c>
      <c r="Z85" s="110"/>
      <c r="AA85" s="110"/>
      <c r="AB85" s="110" t="s">
        <v>18</v>
      </c>
      <c r="AC85" s="110"/>
      <c r="AD85" s="110"/>
      <c r="AE85" s="110" t="s">
        <v>19</v>
      </c>
      <c r="AF85" s="110"/>
      <c r="AG85" s="110"/>
      <c r="AH85" s="110" t="s">
        <v>20</v>
      </c>
      <c r="AI85" s="110"/>
      <c r="AJ85" s="110"/>
      <c r="AK85" s="110" t="s">
        <v>21</v>
      </c>
      <c r="AL85" s="110"/>
      <c r="AM85" s="110"/>
      <c r="AO85" s="110" t="s">
        <v>22</v>
      </c>
      <c r="AP85" s="110"/>
      <c r="AQ85" s="110"/>
      <c r="AR85" s="110"/>
    </row>
    <row r="86" spans="1:44" ht="12.75">
      <c r="A86" s="110" t="s">
        <v>127</v>
      </c>
      <c r="B86" s="110"/>
      <c r="C86" s="110"/>
      <c r="D86" s="110"/>
      <c r="E86" s="110"/>
      <c r="F86" s="110"/>
      <c r="G86" s="109">
        <f>G78</f>
        <v>2180</v>
      </c>
      <c r="H86" s="109"/>
      <c r="I86" s="109"/>
      <c r="J86" s="109">
        <f>J78</f>
        <v>4000</v>
      </c>
      <c r="K86" s="109"/>
      <c r="L86" s="109"/>
      <c r="M86" s="109">
        <f>M78</f>
        <v>5905</v>
      </c>
      <c r="N86" s="109"/>
      <c r="O86" s="109"/>
      <c r="P86" s="109">
        <f>P78</f>
        <v>8280</v>
      </c>
      <c r="Q86" s="109"/>
      <c r="R86" s="109"/>
      <c r="S86" s="109">
        <f>S78</f>
        <v>10940</v>
      </c>
      <c r="T86" s="109"/>
      <c r="U86" s="109"/>
      <c r="V86" s="109">
        <f>V78</f>
        <v>13000</v>
      </c>
      <c r="W86" s="109"/>
      <c r="X86" s="109"/>
      <c r="Y86" s="109">
        <f>Y78</f>
        <v>13060</v>
      </c>
      <c r="Z86" s="109"/>
      <c r="AA86" s="109"/>
      <c r="AB86" s="109">
        <f>AB78</f>
        <v>13960</v>
      </c>
      <c r="AC86" s="109"/>
      <c r="AD86" s="109"/>
      <c r="AE86" s="109">
        <f>AE78</f>
        <v>14360</v>
      </c>
      <c r="AF86" s="109"/>
      <c r="AG86" s="109"/>
      <c r="AH86" s="109">
        <f>AH78</f>
        <v>14560</v>
      </c>
      <c r="AI86" s="109"/>
      <c r="AJ86" s="109"/>
      <c r="AK86" s="109">
        <f>AK78</f>
        <v>16940</v>
      </c>
      <c r="AL86" s="109"/>
      <c r="AM86" s="109"/>
      <c r="AO86" s="109">
        <f aca="true" t="shared" si="17" ref="AO86:AO91">SUM(G86:AM86)</f>
        <v>117185</v>
      </c>
      <c r="AP86" s="114"/>
      <c r="AQ86" s="114"/>
      <c r="AR86" s="114"/>
    </row>
    <row r="87" spans="1:44" ht="12.75">
      <c r="A87" s="110" t="s">
        <v>25</v>
      </c>
      <c r="B87" s="110"/>
      <c r="C87" s="110"/>
      <c r="D87" s="110"/>
      <c r="E87" s="110"/>
      <c r="F87" s="110"/>
      <c r="G87" s="109">
        <f>'ЦФУ Доставка'!$W19</f>
        <v>40</v>
      </c>
      <c r="H87" s="109"/>
      <c r="I87" s="109"/>
      <c r="J87" s="109">
        <f>'ЦФУ Доставка'!$W32</f>
        <v>40</v>
      </c>
      <c r="K87" s="109"/>
      <c r="L87" s="109"/>
      <c r="M87" s="109">
        <f>'ЦФУ Доставка'!$W45</f>
        <v>40</v>
      </c>
      <c r="N87" s="109"/>
      <c r="O87" s="109"/>
      <c r="P87" s="109">
        <f>'ЦФУ Доставка'!$W58</f>
        <v>40</v>
      </c>
      <c r="Q87" s="109"/>
      <c r="R87" s="109"/>
      <c r="S87" s="109">
        <f>'ЦФУ Доставка'!$W71</f>
        <v>43.620000000000005</v>
      </c>
      <c r="T87" s="109"/>
      <c r="U87" s="109"/>
      <c r="V87" s="109">
        <f>'ЦФУ Доставка'!$W84</f>
        <v>49.8</v>
      </c>
      <c r="W87" s="109"/>
      <c r="X87" s="109"/>
      <c r="Y87" s="109">
        <f>'ЦФУ Доставка'!$W97</f>
        <v>49.98</v>
      </c>
      <c r="Z87" s="109"/>
      <c r="AA87" s="109"/>
      <c r="AB87" s="109">
        <f>'ЦФУ Доставка'!$W110</f>
        <v>53.80799999999999</v>
      </c>
      <c r="AC87" s="109"/>
      <c r="AD87" s="109"/>
      <c r="AE87" s="109">
        <f>'ЦФУ Доставка'!$W123</f>
        <v>55.727999999999994</v>
      </c>
      <c r="AF87" s="109"/>
      <c r="AG87" s="109"/>
      <c r="AH87" s="109">
        <f>'ЦФУ Доставка'!$W136</f>
        <v>56.687999999999995</v>
      </c>
      <c r="AI87" s="109"/>
      <c r="AJ87" s="109"/>
      <c r="AK87" s="109">
        <f>'ЦФУ Доставка'!$W149</f>
        <v>56.687999999999995</v>
      </c>
      <c r="AL87" s="109"/>
      <c r="AM87" s="109"/>
      <c r="AO87" s="109">
        <f t="shared" si="17"/>
        <v>526.312</v>
      </c>
      <c r="AP87" s="114"/>
      <c r="AQ87" s="114"/>
      <c r="AR87" s="114"/>
    </row>
    <row r="88" spans="1:44" ht="12.75">
      <c r="A88" s="110" t="s">
        <v>77</v>
      </c>
      <c r="B88" s="110"/>
      <c r="C88" s="110"/>
      <c r="D88" s="110"/>
      <c r="E88" s="110"/>
      <c r="F88" s="110"/>
      <c r="G88" s="109">
        <f>'ЦФУ Доставка'!$W13</f>
        <v>33</v>
      </c>
      <c r="H88" s="109"/>
      <c r="I88" s="109"/>
      <c r="J88" s="109">
        <f>'ЦФУ Доставка'!$W26</f>
        <v>33</v>
      </c>
      <c r="K88" s="109"/>
      <c r="L88" s="109"/>
      <c r="M88" s="109">
        <f>'ЦФУ Доставка'!$W39</f>
        <v>33</v>
      </c>
      <c r="N88" s="109"/>
      <c r="O88" s="109"/>
      <c r="P88" s="109">
        <f>'ЦФУ Доставка'!$W52</f>
        <v>33</v>
      </c>
      <c r="Q88" s="109"/>
      <c r="R88" s="109"/>
      <c r="S88" s="109">
        <f>'ЦФУ Доставка'!$W65</f>
        <v>33</v>
      </c>
      <c r="T88" s="109"/>
      <c r="U88" s="109"/>
      <c r="V88" s="109">
        <f>'ЦФУ Доставка'!$W78</f>
        <v>33</v>
      </c>
      <c r="W88" s="109"/>
      <c r="X88" s="109"/>
      <c r="Y88" s="109">
        <f>'ЦФУ Доставка'!$W91</f>
        <v>33</v>
      </c>
      <c r="Z88" s="109"/>
      <c r="AA88" s="109"/>
      <c r="AB88" s="109">
        <f>'ЦФУ Доставка'!$W104</f>
        <v>33</v>
      </c>
      <c r="AC88" s="109"/>
      <c r="AD88" s="109"/>
      <c r="AE88" s="109">
        <f>'ЦФУ Доставка'!$W117</f>
        <v>33</v>
      </c>
      <c r="AF88" s="109"/>
      <c r="AG88" s="109"/>
      <c r="AH88" s="109">
        <f>'ЦФУ Доставка'!$W130</f>
        <v>33</v>
      </c>
      <c r="AI88" s="109"/>
      <c r="AJ88" s="109"/>
      <c r="AK88" s="109">
        <f>'ЦФУ Доставка'!$W143</f>
        <v>33</v>
      </c>
      <c r="AL88" s="109"/>
      <c r="AM88" s="109"/>
      <c r="AO88" s="109">
        <f t="shared" si="17"/>
        <v>363</v>
      </c>
      <c r="AP88" s="114"/>
      <c r="AQ88" s="114"/>
      <c r="AR88" s="114"/>
    </row>
    <row r="89" spans="1:44" ht="12.75">
      <c r="A89" s="111" t="s">
        <v>78</v>
      </c>
      <c r="B89" s="111"/>
      <c r="C89" s="111"/>
      <c r="D89" s="111"/>
      <c r="E89" s="111"/>
      <c r="F89" s="111"/>
      <c r="G89" s="109">
        <f>G87+G88</f>
        <v>73</v>
      </c>
      <c r="H89" s="109"/>
      <c r="I89" s="109"/>
      <c r="J89" s="109">
        <f>J87+J88</f>
        <v>73</v>
      </c>
      <c r="K89" s="109"/>
      <c r="L89" s="109"/>
      <c r="M89" s="109">
        <f>M87+M88</f>
        <v>73</v>
      </c>
      <c r="N89" s="109"/>
      <c r="O89" s="109"/>
      <c r="P89" s="109">
        <f>P87+P88</f>
        <v>73</v>
      </c>
      <c r="Q89" s="109"/>
      <c r="R89" s="109"/>
      <c r="S89" s="109">
        <f>S87+S88</f>
        <v>76.62</v>
      </c>
      <c r="T89" s="109"/>
      <c r="U89" s="109"/>
      <c r="V89" s="109">
        <f>V87+V88</f>
        <v>82.8</v>
      </c>
      <c r="W89" s="109"/>
      <c r="X89" s="109"/>
      <c r="Y89" s="109">
        <f>Y87+Y88</f>
        <v>82.97999999999999</v>
      </c>
      <c r="Z89" s="109"/>
      <c r="AA89" s="109"/>
      <c r="AB89" s="109">
        <f>AB87+AB88</f>
        <v>86.80799999999999</v>
      </c>
      <c r="AC89" s="109"/>
      <c r="AD89" s="109"/>
      <c r="AE89" s="109">
        <f>AE87+AE88</f>
        <v>88.728</v>
      </c>
      <c r="AF89" s="109"/>
      <c r="AG89" s="109"/>
      <c r="AH89" s="109">
        <f>AH87+AH88</f>
        <v>89.68799999999999</v>
      </c>
      <c r="AI89" s="109"/>
      <c r="AJ89" s="109"/>
      <c r="AK89" s="109">
        <f>AK87+AK88</f>
        <v>89.68799999999999</v>
      </c>
      <c r="AL89" s="109"/>
      <c r="AM89" s="109"/>
      <c r="AO89" s="109">
        <f t="shared" si="17"/>
        <v>889.3119999999999</v>
      </c>
      <c r="AP89" s="114"/>
      <c r="AQ89" s="114"/>
      <c r="AR89" s="114"/>
    </row>
    <row r="90" spans="1:44" ht="12.75">
      <c r="A90" s="110" t="s">
        <v>168</v>
      </c>
      <c r="B90" s="110"/>
      <c r="C90" s="110"/>
      <c r="D90" s="110"/>
      <c r="E90" s="110"/>
      <c r="F90" s="110"/>
      <c r="G90" s="109">
        <f>'ЦФУ Доставка'!$AG9</f>
        <v>56.65</v>
      </c>
      <c r="H90" s="109"/>
      <c r="I90" s="109"/>
      <c r="J90" s="109">
        <f>'ЦФУ Доставка'!$AG22</f>
        <v>44.65</v>
      </c>
      <c r="K90" s="109"/>
      <c r="L90" s="109"/>
      <c r="M90" s="109">
        <f>'ЦФУ Доставка'!$AG35</f>
        <v>28.9</v>
      </c>
      <c r="N90" s="109"/>
      <c r="O90" s="109"/>
      <c r="P90" s="109">
        <f>'ЦФУ Доставка'!$AG48</f>
        <v>10.9</v>
      </c>
      <c r="Q90" s="109"/>
      <c r="R90" s="109"/>
      <c r="S90" s="109">
        <f>'ЦФУ Доставка'!$AG61</f>
        <v>0</v>
      </c>
      <c r="T90" s="109"/>
      <c r="U90" s="109"/>
      <c r="V90" s="109">
        <f>'ЦФУ Доставка'!$AG74</f>
        <v>0</v>
      </c>
      <c r="W90" s="109"/>
      <c r="X90" s="109"/>
      <c r="Y90" s="109">
        <f>'ЦФУ Доставка'!$AG87</f>
        <v>0</v>
      </c>
      <c r="Z90" s="109"/>
      <c r="AA90" s="109"/>
      <c r="AB90" s="109">
        <f>'ЦФУ Доставка'!$AG100</f>
        <v>0</v>
      </c>
      <c r="AC90" s="109"/>
      <c r="AD90" s="109"/>
      <c r="AE90" s="109">
        <f>'ЦФУ Доставка'!$AG113</f>
        <v>0</v>
      </c>
      <c r="AF90" s="109"/>
      <c r="AG90" s="109"/>
      <c r="AH90" s="109">
        <f>'ЦФУ Доставка'!$AG126</f>
        <v>0</v>
      </c>
      <c r="AI90" s="109"/>
      <c r="AJ90" s="109"/>
      <c r="AK90" s="109">
        <f>'ЦФУ Доставка'!$AG139</f>
        <v>0</v>
      </c>
      <c r="AL90" s="109"/>
      <c r="AM90" s="109"/>
      <c r="AO90" s="109">
        <f t="shared" si="17"/>
        <v>141.1</v>
      </c>
      <c r="AP90" s="114"/>
      <c r="AQ90" s="114"/>
      <c r="AR90" s="114"/>
    </row>
    <row r="91" spans="1:44" ht="12.75">
      <c r="A91" s="111" t="s">
        <v>224</v>
      </c>
      <c r="B91" s="111"/>
      <c r="C91" s="111"/>
      <c r="D91" s="111"/>
      <c r="E91" s="111"/>
      <c r="F91" s="111"/>
      <c r="G91" s="109">
        <f>'ЦФУ Доставка'!$AG11</f>
        <v>-56.65</v>
      </c>
      <c r="H91" s="109"/>
      <c r="I91" s="109"/>
      <c r="J91" s="109">
        <f>'ЦФУ Доставка'!$AG24</f>
        <v>-44.65</v>
      </c>
      <c r="K91" s="109"/>
      <c r="L91" s="109"/>
      <c r="M91" s="109">
        <f>'ЦФУ Доставка'!$AG37</f>
        <v>-28.9</v>
      </c>
      <c r="N91" s="109"/>
      <c r="O91" s="109"/>
      <c r="P91" s="109">
        <f>'ЦФУ Доставка'!$AG50</f>
        <v>-10.9</v>
      </c>
      <c r="Q91" s="109"/>
      <c r="R91" s="109"/>
      <c r="S91" s="109">
        <f>'ЦФУ Доставка'!$AG63</f>
        <v>5.430000000000007</v>
      </c>
      <c r="T91" s="109"/>
      <c r="U91" s="109"/>
      <c r="V91" s="109">
        <f>'ЦФУ Доставка'!$AG76</f>
        <v>14.7</v>
      </c>
      <c r="W91" s="109"/>
      <c r="X91" s="109"/>
      <c r="Y91" s="109">
        <f>'ЦФУ Доставка'!$AG89</f>
        <v>14.969999999999994</v>
      </c>
      <c r="Z91" s="109"/>
      <c r="AA91" s="109"/>
      <c r="AB91" s="109">
        <f>'ЦФУ Доставка'!$AG102</f>
        <v>17.891999999999992</v>
      </c>
      <c r="AC91" s="109"/>
      <c r="AD91" s="109"/>
      <c r="AE91" s="109">
        <f>'ЦФУ Доставка'!$AG115</f>
        <v>18.971999999999994</v>
      </c>
      <c r="AF91" s="109"/>
      <c r="AG91" s="109"/>
      <c r="AH91" s="109">
        <f>'ЦФУ Доставка'!$AG128</f>
        <v>19.511999999999993</v>
      </c>
      <c r="AI91" s="109"/>
      <c r="AJ91" s="109"/>
      <c r="AK91" s="109">
        <f>'ЦФУ Доставка'!$AG141</f>
        <v>19.511999999999993</v>
      </c>
      <c r="AL91" s="109"/>
      <c r="AM91" s="109"/>
      <c r="AO91" s="109">
        <f t="shared" si="17"/>
        <v>-30.11200000000001</v>
      </c>
      <c r="AP91" s="114"/>
      <c r="AQ91" s="114"/>
      <c r="AR91" s="114"/>
    </row>
    <row r="92" spans="1:46" ht="12.75">
      <c r="A92" s="111" t="s">
        <v>9</v>
      </c>
      <c r="B92" s="111"/>
      <c r="C92" s="111"/>
      <c r="D92" s="111"/>
      <c r="E92" s="111"/>
      <c r="F92" s="111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17"/>
      <c r="U92" s="117"/>
      <c r="W92" s="110"/>
      <c r="X92" s="110"/>
      <c r="Y92" s="110"/>
      <c r="Z92" s="110"/>
      <c r="AA92" s="109"/>
      <c r="AB92" s="109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1:44" ht="12.75" customHeight="1">
      <c r="A93" s="72"/>
      <c r="B93" s="72"/>
      <c r="C93" s="72"/>
      <c r="D93" s="72"/>
      <c r="E93" s="72"/>
      <c r="F93" s="72"/>
      <c r="G93" s="110" t="s">
        <v>11</v>
      </c>
      <c r="H93" s="110"/>
      <c r="I93" s="110"/>
      <c r="J93" s="110" t="s">
        <v>12</v>
      </c>
      <c r="K93" s="110"/>
      <c r="L93" s="110"/>
      <c r="M93" s="110" t="s">
        <v>13</v>
      </c>
      <c r="N93" s="110"/>
      <c r="O93" s="110"/>
      <c r="P93" s="110" t="s">
        <v>14</v>
      </c>
      <c r="Q93" s="110"/>
      <c r="R93" s="110"/>
      <c r="S93" s="110" t="s">
        <v>15</v>
      </c>
      <c r="T93" s="110"/>
      <c r="U93" s="110"/>
      <c r="V93" s="110" t="s">
        <v>16</v>
      </c>
      <c r="W93" s="110"/>
      <c r="X93" s="110"/>
      <c r="Y93" s="110" t="s">
        <v>17</v>
      </c>
      <c r="Z93" s="110"/>
      <c r="AA93" s="110"/>
      <c r="AB93" s="110" t="s">
        <v>18</v>
      </c>
      <c r="AC93" s="110"/>
      <c r="AD93" s="110"/>
      <c r="AE93" s="110" t="s">
        <v>19</v>
      </c>
      <c r="AF93" s="110"/>
      <c r="AG93" s="110"/>
      <c r="AH93" s="110" t="s">
        <v>20</v>
      </c>
      <c r="AI93" s="110"/>
      <c r="AJ93" s="110"/>
      <c r="AK93" s="110" t="s">
        <v>21</v>
      </c>
      <c r="AL93" s="110"/>
      <c r="AM93" s="110"/>
      <c r="AO93" s="110" t="s">
        <v>22</v>
      </c>
      <c r="AP93" s="110"/>
      <c r="AQ93" s="110"/>
      <c r="AR93" s="110"/>
    </row>
    <row r="94" spans="1:46" ht="12.75">
      <c r="A94" s="110" t="s">
        <v>75</v>
      </c>
      <c r="B94" s="110"/>
      <c r="C94" s="110"/>
      <c r="D94" s="110"/>
      <c r="E94" s="110"/>
      <c r="F94" s="110"/>
      <c r="G94" s="109">
        <v>2180</v>
      </c>
      <c r="H94" s="109"/>
      <c r="I94" s="109"/>
      <c r="J94" s="109">
        <v>3780</v>
      </c>
      <c r="K94" s="109"/>
      <c r="L94" s="109"/>
      <c r="M94" s="109">
        <v>5880</v>
      </c>
      <c r="N94" s="109"/>
      <c r="O94" s="109"/>
      <c r="P94" s="109">
        <v>8280</v>
      </c>
      <c r="Q94" s="109"/>
      <c r="R94" s="109"/>
      <c r="S94" s="109">
        <v>10940</v>
      </c>
      <c r="T94" s="109"/>
      <c r="U94" s="109"/>
      <c r="V94" s="109">
        <v>13000</v>
      </c>
      <c r="W94" s="109"/>
      <c r="X94" s="109"/>
      <c r="Y94" s="109">
        <v>13060</v>
      </c>
      <c r="Z94" s="109"/>
      <c r="AA94" s="109"/>
      <c r="AB94" s="109">
        <v>13960</v>
      </c>
      <c r="AC94" s="109"/>
      <c r="AD94" s="109"/>
      <c r="AE94" s="109">
        <v>14360</v>
      </c>
      <c r="AF94" s="109"/>
      <c r="AG94" s="109"/>
      <c r="AH94" s="109">
        <v>14560</v>
      </c>
      <c r="AI94" s="109"/>
      <c r="AJ94" s="109"/>
      <c r="AK94" s="109">
        <v>14560</v>
      </c>
      <c r="AL94" s="109"/>
      <c r="AM94" s="109"/>
      <c r="AN94" s="67"/>
      <c r="AO94" s="109">
        <f aca="true" t="shared" si="18" ref="AO94:AO100">SUM(G94:AM94)</f>
        <v>114560</v>
      </c>
      <c r="AP94" s="109"/>
      <c r="AQ94" s="109"/>
      <c r="AR94" s="109"/>
      <c r="AS94" s="67"/>
      <c r="AT94" s="67"/>
    </row>
    <row r="95" spans="1:44" ht="12.75">
      <c r="A95" s="110" t="s">
        <v>25</v>
      </c>
      <c r="B95" s="110"/>
      <c r="C95" s="110"/>
      <c r="D95" s="110"/>
      <c r="E95" s="110"/>
      <c r="F95" s="110"/>
      <c r="G95" s="109">
        <f>'ЦФУ Бухгалт.'!$W19</f>
        <v>50</v>
      </c>
      <c r="H95" s="109"/>
      <c r="I95" s="109"/>
      <c r="J95" s="109">
        <f>'ЦФУ Бухгалт.'!$W32</f>
        <v>50.892</v>
      </c>
      <c r="K95" s="109"/>
      <c r="L95" s="109"/>
      <c r="M95" s="109">
        <f>'ЦФУ Бухгалт.'!$W45</f>
        <v>55.032</v>
      </c>
      <c r="N95" s="109"/>
      <c r="O95" s="109"/>
      <c r="P95" s="109">
        <f>'ЦФУ Бухгалт.'!$W58</f>
        <v>59.592</v>
      </c>
      <c r="Q95" s="109"/>
      <c r="R95" s="109"/>
      <c r="S95" s="109">
        <f>'ЦФУ Бухгалт.'!$W71</f>
        <v>63.316</v>
      </c>
      <c r="T95" s="109"/>
      <c r="U95" s="109"/>
      <c r="V95" s="109">
        <f>'ЦФУ Бухгалт.'!$W84</f>
        <v>66.2</v>
      </c>
      <c r="W95" s="109"/>
      <c r="X95" s="109"/>
      <c r="Y95" s="109">
        <f>'ЦФУ Бухгалт.'!$W97</f>
        <v>66.28399999999999</v>
      </c>
      <c r="Z95" s="109"/>
      <c r="AA95" s="109"/>
      <c r="AB95" s="109">
        <f>'ЦФУ Бухгалт.'!$W110</f>
        <v>67.544</v>
      </c>
      <c r="AC95" s="109"/>
      <c r="AD95" s="109"/>
      <c r="AE95" s="109">
        <f>'ЦФУ Бухгалт.'!$W123</f>
        <v>68.104</v>
      </c>
      <c r="AF95" s="109"/>
      <c r="AG95" s="109"/>
      <c r="AH95" s="109">
        <f>'ЦФУ Бухгалт.'!$W136</f>
        <v>68.38399999999999</v>
      </c>
      <c r="AI95" s="109"/>
      <c r="AJ95" s="109"/>
      <c r="AK95" s="109">
        <f>'ЦФУ Бухгалт.'!$W149</f>
        <v>68.38399999999999</v>
      </c>
      <c r="AL95" s="109"/>
      <c r="AM95" s="109"/>
      <c r="AO95" s="109">
        <f t="shared" si="18"/>
        <v>683.732</v>
      </c>
      <c r="AP95" s="114"/>
      <c r="AQ95" s="114"/>
      <c r="AR95" s="114"/>
    </row>
    <row r="96" spans="1:44" ht="12.75">
      <c r="A96" s="110" t="s">
        <v>77</v>
      </c>
      <c r="B96" s="110"/>
      <c r="C96" s="110"/>
      <c r="D96" s="110"/>
      <c r="E96" s="110"/>
      <c r="F96" s="110"/>
      <c r="G96" s="109">
        <f>'ЦФУ Бухгалт.'!$W13</f>
        <v>33</v>
      </c>
      <c r="H96" s="109"/>
      <c r="I96" s="109"/>
      <c r="J96" s="109">
        <f>'ЦФУ Бухгалт.'!$W26</f>
        <v>33</v>
      </c>
      <c r="K96" s="109"/>
      <c r="L96" s="109"/>
      <c r="M96" s="109">
        <f>'ЦФУ Бухгалт.'!$W39</f>
        <v>33</v>
      </c>
      <c r="N96" s="109"/>
      <c r="O96" s="109"/>
      <c r="P96" s="109">
        <f>'ЦФУ Бухгалт.'!$W52</f>
        <v>33</v>
      </c>
      <c r="Q96" s="109"/>
      <c r="R96" s="109"/>
      <c r="S96" s="109">
        <f>'ЦФУ Бухгалт.'!$W65</f>
        <v>33</v>
      </c>
      <c r="T96" s="109"/>
      <c r="U96" s="109"/>
      <c r="V96" s="109">
        <f>'ЦФУ Бухгалт.'!$W78</f>
        <v>33</v>
      </c>
      <c r="W96" s="109"/>
      <c r="X96" s="109"/>
      <c r="Y96" s="109">
        <f>'ЦФУ Бухгалт.'!$W91</f>
        <v>33</v>
      </c>
      <c r="Z96" s="109"/>
      <c r="AA96" s="109"/>
      <c r="AB96" s="109">
        <f>'ЦФУ Бухгалт.'!$W104</f>
        <v>33</v>
      </c>
      <c r="AC96" s="109"/>
      <c r="AD96" s="109"/>
      <c r="AE96" s="109">
        <f>'ЦФУ Бухгалт.'!$W117</f>
        <v>33</v>
      </c>
      <c r="AF96" s="109"/>
      <c r="AG96" s="109"/>
      <c r="AH96" s="109">
        <f>'ЦФУ Бухгалт.'!$W130</f>
        <v>33</v>
      </c>
      <c r="AI96" s="109"/>
      <c r="AJ96" s="109"/>
      <c r="AK96" s="109">
        <f>'ЦФУ Бухгалт.'!$W143</f>
        <v>33</v>
      </c>
      <c r="AL96" s="109"/>
      <c r="AM96" s="109"/>
      <c r="AO96" s="109">
        <f t="shared" si="18"/>
        <v>363</v>
      </c>
      <c r="AP96" s="114"/>
      <c r="AQ96" s="114"/>
      <c r="AR96" s="114"/>
    </row>
    <row r="97" spans="1:44" ht="12.75">
      <c r="A97" s="111" t="s">
        <v>78</v>
      </c>
      <c r="B97" s="111"/>
      <c r="C97" s="111"/>
      <c r="D97" s="111"/>
      <c r="E97" s="111"/>
      <c r="F97" s="111"/>
      <c r="G97" s="109">
        <f>G95+G96</f>
        <v>83</v>
      </c>
      <c r="H97" s="109"/>
      <c r="I97" s="109"/>
      <c r="J97" s="109">
        <f>J95+J96</f>
        <v>83.892</v>
      </c>
      <c r="K97" s="109"/>
      <c r="L97" s="109"/>
      <c r="M97" s="109">
        <f>M95+M96</f>
        <v>88.032</v>
      </c>
      <c r="N97" s="109"/>
      <c r="O97" s="109"/>
      <c r="P97" s="109">
        <f>P95+P96</f>
        <v>92.592</v>
      </c>
      <c r="Q97" s="109"/>
      <c r="R97" s="109"/>
      <c r="S97" s="109">
        <f>S95+S96</f>
        <v>96.316</v>
      </c>
      <c r="T97" s="109"/>
      <c r="U97" s="109"/>
      <c r="V97" s="109">
        <f>V95+V96</f>
        <v>99.2</v>
      </c>
      <c r="W97" s="109"/>
      <c r="X97" s="109"/>
      <c r="Y97" s="109">
        <f>Y95+Y96</f>
        <v>99.28399999999999</v>
      </c>
      <c r="Z97" s="109"/>
      <c r="AA97" s="109"/>
      <c r="AB97" s="109">
        <f>AB95+AB96</f>
        <v>100.544</v>
      </c>
      <c r="AC97" s="109"/>
      <c r="AD97" s="109"/>
      <c r="AE97" s="109">
        <f>AE95+AE96</f>
        <v>101.104</v>
      </c>
      <c r="AF97" s="109"/>
      <c r="AG97" s="109"/>
      <c r="AH97" s="109">
        <f>AH95+AH96</f>
        <v>101.38399999999999</v>
      </c>
      <c r="AI97" s="109"/>
      <c r="AJ97" s="109"/>
      <c r="AK97" s="109">
        <f>AK95+AK96</f>
        <v>101.38399999999999</v>
      </c>
      <c r="AL97" s="109"/>
      <c r="AM97" s="109"/>
      <c r="AO97" s="109">
        <f t="shared" si="18"/>
        <v>1046.732</v>
      </c>
      <c r="AP97" s="114"/>
      <c r="AQ97" s="114"/>
      <c r="AR97" s="114"/>
    </row>
    <row r="98" spans="1:44" ht="12.75">
      <c r="A98" s="121" t="s">
        <v>136</v>
      </c>
      <c r="B98" s="114"/>
      <c r="C98" s="114"/>
      <c r="D98" s="114"/>
      <c r="E98" s="114"/>
      <c r="F98" s="114"/>
      <c r="G98" s="109">
        <v>56</v>
      </c>
      <c r="H98" s="109"/>
      <c r="I98" s="109"/>
      <c r="J98" s="109">
        <v>63</v>
      </c>
      <c r="K98" s="109"/>
      <c r="L98" s="109"/>
      <c r="M98" s="109">
        <v>66.5</v>
      </c>
      <c r="N98" s="109"/>
      <c r="O98" s="109"/>
      <c r="P98" s="109">
        <v>70</v>
      </c>
      <c r="Q98" s="109"/>
      <c r="R98" s="109"/>
      <c r="S98" s="109">
        <v>70</v>
      </c>
      <c r="T98" s="109"/>
      <c r="U98" s="109"/>
      <c r="V98" s="109">
        <v>70</v>
      </c>
      <c r="W98" s="109"/>
      <c r="X98" s="109"/>
      <c r="Y98" s="109">
        <v>70</v>
      </c>
      <c r="Z98" s="109"/>
      <c r="AA98" s="109"/>
      <c r="AB98" s="109">
        <v>70</v>
      </c>
      <c r="AC98" s="109"/>
      <c r="AD98" s="109"/>
      <c r="AE98" s="109">
        <v>70</v>
      </c>
      <c r="AF98" s="109"/>
      <c r="AG98" s="109"/>
      <c r="AH98" s="109">
        <v>70</v>
      </c>
      <c r="AI98" s="109"/>
      <c r="AJ98" s="109"/>
      <c r="AK98" s="109">
        <v>70</v>
      </c>
      <c r="AL98" s="109"/>
      <c r="AM98" s="109"/>
      <c r="AO98" s="109">
        <f t="shared" si="18"/>
        <v>745.5</v>
      </c>
      <c r="AP98" s="114"/>
      <c r="AQ98" s="114"/>
      <c r="AR98" s="114"/>
    </row>
    <row r="99" spans="1:44" ht="12.75">
      <c r="A99" s="110" t="s">
        <v>76</v>
      </c>
      <c r="B99" s="110"/>
      <c r="C99" s="110"/>
      <c r="D99" s="110"/>
      <c r="E99" s="110"/>
      <c r="F99" s="110"/>
      <c r="G99" s="109">
        <f>'ЦФУ Бухгалт.'!$AG9</f>
        <v>8.55</v>
      </c>
      <c r="H99" s="109"/>
      <c r="I99" s="109"/>
      <c r="J99" s="109">
        <f>'ЦФУ Бухгалт.'!$AG22</f>
        <v>0</v>
      </c>
      <c r="K99" s="109"/>
      <c r="L99" s="109"/>
      <c r="M99" s="109">
        <f>'ЦФУ Бухгалт.'!$AG35</f>
        <v>0</v>
      </c>
      <c r="N99" s="109"/>
      <c r="O99" s="109"/>
      <c r="P99" s="109">
        <f>'ЦФУ Бухгалт.'!$AG48</f>
        <v>0</v>
      </c>
      <c r="Q99" s="109"/>
      <c r="R99" s="109"/>
      <c r="S99" s="109">
        <f>'ЦФУ Бухгалт.'!$AG61</f>
        <v>0</v>
      </c>
      <c r="T99" s="109"/>
      <c r="U99" s="109"/>
      <c r="V99" s="109">
        <f>'ЦФУ Бухгалт.'!$AG74</f>
        <v>0</v>
      </c>
      <c r="W99" s="109"/>
      <c r="X99" s="109"/>
      <c r="Y99" s="109">
        <f>'ЦФУ Бухгалт.'!$AG87</f>
        <v>0</v>
      </c>
      <c r="Z99" s="109"/>
      <c r="AA99" s="109"/>
      <c r="AB99" s="109">
        <f>'ЦФУ Бухгалт.'!$AG100</f>
        <v>0</v>
      </c>
      <c r="AC99" s="109"/>
      <c r="AD99" s="109"/>
      <c r="AE99" s="109">
        <f>'ЦФУ Бухгалт.'!$AG113</f>
        <v>0</v>
      </c>
      <c r="AF99" s="109"/>
      <c r="AG99" s="109"/>
      <c r="AH99" s="109">
        <f>'ЦФУ Бухгалт.'!$AG126</f>
        <v>0</v>
      </c>
      <c r="AI99" s="109"/>
      <c r="AJ99" s="109"/>
      <c r="AK99" s="109">
        <f>'ЦФУ Бухгалт.'!$AG139</f>
        <v>0</v>
      </c>
      <c r="AL99" s="109"/>
      <c r="AM99" s="109"/>
      <c r="AO99" s="109">
        <f t="shared" si="18"/>
        <v>8.55</v>
      </c>
      <c r="AP99" s="109"/>
      <c r="AQ99" s="109"/>
      <c r="AR99" s="109"/>
    </row>
    <row r="100" spans="1:44" ht="12.75">
      <c r="A100" s="111" t="s">
        <v>224</v>
      </c>
      <c r="B100" s="111"/>
      <c r="C100" s="111"/>
      <c r="D100" s="111"/>
      <c r="E100" s="111"/>
      <c r="F100" s="111"/>
      <c r="G100" s="109">
        <f>'ЦФУ Бухгалт.'!$AG11</f>
        <v>-9.042000000000003</v>
      </c>
      <c r="H100" s="109"/>
      <c r="I100" s="109"/>
      <c r="J100" s="109">
        <f>'ЦФУ Бухгалт.'!$AG24</f>
        <v>1.3380000000000023</v>
      </c>
      <c r="K100" s="109"/>
      <c r="L100" s="109"/>
      <c r="M100" s="109">
        <f>'ЦФУ Бухгалт.'!$AG37</f>
        <v>7.547999999999998</v>
      </c>
      <c r="N100" s="109"/>
      <c r="O100" s="109"/>
      <c r="P100" s="109">
        <f>'ЦФУ Бухгалт.'!$AG50</f>
        <v>14.387999999999995</v>
      </c>
      <c r="Q100" s="109"/>
      <c r="R100" s="109"/>
      <c r="S100" s="109">
        <f>'ЦФУ Бухгалт.'!$AG63</f>
        <v>19.973999999999997</v>
      </c>
      <c r="T100" s="109"/>
      <c r="U100" s="109"/>
      <c r="V100" s="109">
        <f>'ЦФУ Бухгалт.'!$AG76</f>
        <v>24.299999999999997</v>
      </c>
      <c r="W100" s="109"/>
      <c r="X100" s="109"/>
      <c r="Y100" s="109">
        <f>'ЦФУ Бухгалт.'!$AG89</f>
        <v>24.425999999999995</v>
      </c>
      <c r="Z100" s="109"/>
      <c r="AA100" s="109"/>
      <c r="AB100" s="109">
        <f>'ЦФУ Бухгалт.'!$AG102</f>
        <v>26.31599999999999</v>
      </c>
      <c r="AC100" s="109"/>
      <c r="AD100" s="109"/>
      <c r="AE100" s="109">
        <f>'ЦФУ Бухгалт.'!$AG115</f>
        <v>27.155999999999995</v>
      </c>
      <c r="AF100" s="109"/>
      <c r="AG100" s="109"/>
      <c r="AH100" s="109">
        <f>'ЦФУ Бухгалт.'!$AG128</f>
        <v>27.575999999999986</v>
      </c>
      <c r="AI100" s="109"/>
      <c r="AJ100" s="109"/>
      <c r="AK100" s="109">
        <f>'ЦФУ Бухгалт.'!$AG141</f>
        <v>27.575999999999986</v>
      </c>
      <c r="AL100" s="109"/>
      <c r="AM100" s="109"/>
      <c r="AO100" s="109">
        <f t="shared" si="18"/>
        <v>191.55599999999995</v>
      </c>
      <c r="AP100" s="109"/>
      <c r="AQ100" s="109"/>
      <c r="AR100" s="109"/>
    </row>
    <row r="101" spans="1:34" ht="12.75">
      <c r="A101" s="110" t="s">
        <v>348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09">
        <v>13</v>
      </c>
      <c r="AF101" s="109"/>
      <c r="AG101" s="109"/>
      <c r="AH101" s="109"/>
    </row>
    <row r="103" spans="1:44" ht="12.75">
      <c r="A103" s="107" t="s">
        <v>350</v>
      </c>
      <c r="B103" s="107"/>
      <c r="C103" s="107"/>
      <c r="D103" s="107"/>
      <c r="E103" s="107"/>
      <c r="F103" s="107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7"/>
      <c r="U103" s="117"/>
      <c r="W103" s="110"/>
      <c r="X103" s="110"/>
      <c r="Y103" s="110"/>
      <c r="Z103" s="110"/>
      <c r="AA103" s="109"/>
      <c r="AB103" s="109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6" ht="12.75">
      <c r="A104" s="72"/>
      <c r="B104" s="72"/>
      <c r="C104" s="72"/>
      <c r="D104" s="72"/>
      <c r="E104" s="72"/>
      <c r="F104" s="72"/>
      <c r="G104" s="117" t="s">
        <v>11</v>
      </c>
      <c r="H104" s="117"/>
      <c r="I104" s="117"/>
      <c r="J104" s="117" t="s">
        <v>12</v>
      </c>
      <c r="K104" s="117"/>
      <c r="L104" s="117"/>
      <c r="M104" s="117" t="s">
        <v>13</v>
      </c>
      <c r="N104" s="117"/>
      <c r="O104" s="117"/>
      <c r="P104" s="117" t="s">
        <v>14</v>
      </c>
      <c r="Q104" s="117"/>
      <c r="R104" s="117"/>
      <c r="S104" s="117" t="s">
        <v>15</v>
      </c>
      <c r="T104" s="117"/>
      <c r="U104" s="117"/>
      <c r="V104" s="117" t="s">
        <v>16</v>
      </c>
      <c r="W104" s="117"/>
      <c r="X104" s="117"/>
      <c r="Y104" s="117" t="s">
        <v>17</v>
      </c>
      <c r="Z104" s="117"/>
      <c r="AA104" s="117"/>
      <c r="AB104" s="117" t="s">
        <v>18</v>
      </c>
      <c r="AC104" s="117"/>
      <c r="AD104" s="117"/>
      <c r="AE104" s="117" t="s">
        <v>19</v>
      </c>
      <c r="AF104" s="117"/>
      <c r="AG104" s="117"/>
      <c r="AH104" s="117" t="s">
        <v>20</v>
      </c>
      <c r="AI104" s="117"/>
      <c r="AJ104" s="117"/>
      <c r="AK104" s="117" t="s">
        <v>21</v>
      </c>
      <c r="AL104" s="117"/>
      <c r="AM104" s="117"/>
      <c r="AO104" s="117" t="s">
        <v>22</v>
      </c>
      <c r="AP104" s="117"/>
      <c r="AQ104" s="117"/>
      <c r="AR104" s="117"/>
      <c r="AS104" s="117" t="s">
        <v>33</v>
      </c>
      <c r="AT104" s="117"/>
    </row>
    <row r="105" spans="1:46" ht="12.75">
      <c r="A105" s="110" t="s">
        <v>137</v>
      </c>
      <c r="B105" s="110"/>
      <c r="C105" s="110"/>
      <c r="D105" s="110"/>
      <c r="E105" s="110"/>
      <c r="F105" s="110"/>
      <c r="G105" s="109">
        <f>G42</f>
        <v>2180</v>
      </c>
      <c r="H105" s="109"/>
      <c r="I105" s="109"/>
      <c r="J105" s="109">
        <f>J42</f>
        <v>4000</v>
      </c>
      <c r="K105" s="109"/>
      <c r="L105" s="109"/>
      <c r="M105" s="109">
        <f>M42</f>
        <v>5905</v>
      </c>
      <c r="N105" s="109"/>
      <c r="O105" s="109"/>
      <c r="P105" s="109">
        <f>P42</f>
        <v>8280</v>
      </c>
      <c r="Q105" s="109"/>
      <c r="R105" s="109"/>
      <c r="S105" s="109">
        <f>S42</f>
        <v>10940</v>
      </c>
      <c r="T105" s="109"/>
      <c r="U105" s="109"/>
      <c r="V105" s="109">
        <f>V42</f>
        <v>13000</v>
      </c>
      <c r="W105" s="109"/>
      <c r="X105" s="109"/>
      <c r="Y105" s="109">
        <f>Y42</f>
        <v>13060</v>
      </c>
      <c r="Z105" s="109"/>
      <c r="AA105" s="109"/>
      <c r="AB105" s="109">
        <f>AB42</f>
        <v>13960</v>
      </c>
      <c r="AC105" s="109"/>
      <c r="AD105" s="109"/>
      <c r="AE105" s="109">
        <f>AE42</f>
        <v>14360</v>
      </c>
      <c r="AF105" s="109"/>
      <c r="AG105" s="109"/>
      <c r="AH105" s="109">
        <f>AH42</f>
        <v>14560</v>
      </c>
      <c r="AI105" s="109"/>
      <c r="AJ105" s="109"/>
      <c r="AK105" s="109">
        <f>AK42</f>
        <v>16940</v>
      </c>
      <c r="AL105" s="109"/>
      <c r="AM105" s="109"/>
      <c r="AO105" s="109">
        <f aca="true" t="shared" si="19" ref="AO105:AO113">SUM(G105:AM105)</f>
        <v>117185</v>
      </c>
      <c r="AP105" s="109"/>
      <c r="AQ105" s="109"/>
      <c r="AR105" s="109"/>
      <c r="AS105" s="108">
        <f>AO105/$AO$105*100</f>
        <v>100</v>
      </c>
      <c r="AT105" s="108"/>
    </row>
    <row r="106" spans="1:46" ht="12.75">
      <c r="A106" s="110" t="s">
        <v>25</v>
      </c>
      <c r="B106" s="110"/>
      <c r="C106" s="110"/>
      <c r="D106" s="110"/>
      <c r="E106" s="110"/>
      <c r="F106" s="110"/>
      <c r="G106" s="109">
        <f>G43+G79+G87+G95</f>
        <v>254.1</v>
      </c>
      <c r="H106" s="109"/>
      <c r="I106" s="109"/>
      <c r="J106" s="109">
        <f>J43+J79+J87+J95</f>
        <v>277.992</v>
      </c>
      <c r="K106" s="109"/>
      <c r="L106" s="109"/>
      <c r="M106" s="109">
        <f>M43+M79+M87+M95</f>
        <v>313.00699999999995</v>
      </c>
      <c r="N106" s="109"/>
      <c r="O106" s="109"/>
      <c r="P106" s="109">
        <f>P43+P79+P87+P95</f>
        <v>354.79200000000003</v>
      </c>
      <c r="Q106" s="109"/>
      <c r="R106" s="109"/>
      <c r="S106" s="109">
        <f>S43+S79+S87+S95</f>
        <v>417.03600000000006</v>
      </c>
      <c r="T106" s="109"/>
      <c r="U106" s="109"/>
      <c r="V106" s="109">
        <f>V43+V79+V87+V95</f>
        <v>436.5</v>
      </c>
      <c r="W106" s="109"/>
      <c r="X106" s="109"/>
      <c r="Y106" s="109">
        <f>Y43+Y79+Y87+Y95</f>
        <v>456.07399999999996</v>
      </c>
      <c r="Z106" s="109"/>
      <c r="AA106" s="109"/>
      <c r="AB106" s="109">
        <f>AB43+AB79+AB87+AB95</f>
        <v>475.01199999999994</v>
      </c>
      <c r="AC106" s="109"/>
      <c r="AD106" s="109"/>
      <c r="AE106" s="109">
        <f>AE43+AE79+AE87+AE95</f>
        <v>483.63199999999995</v>
      </c>
      <c r="AF106" s="109"/>
      <c r="AG106" s="109"/>
      <c r="AH106" s="109">
        <f>AH43+AH79+AH87+AH95</f>
        <v>487.87199999999996</v>
      </c>
      <c r="AI106" s="109"/>
      <c r="AJ106" s="109"/>
      <c r="AK106" s="109">
        <f>AK43+AK79+AK87+AK95</f>
        <v>541.5888421052631</v>
      </c>
      <c r="AL106" s="109"/>
      <c r="AM106" s="109"/>
      <c r="AO106" s="109">
        <f t="shared" si="19"/>
        <v>4497.605842105263</v>
      </c>
      <c r="AP106" s="110"/>
      <c r="AQ106" s="110"/>
      <c r="AR106" s="110"/>
      <c r="AS106" s="108">
        <f>AO106/$AO$105*100</f>
        <v>3.8380388634255773</v>
      </c>
      <c r="AT106" s="108"/>
    </row>
    <row r="107" spans="1:46" ht="12.75">
      <c r="A107" s="110" t="s">
        <v>228</v>
      </c>
      <c r="B107" s="110"/>
      <c r="C107" s="110"/>
      <c r="D107" s="110"/>
      <c r="E107" s="110"/>
      <c r="F107" s="110"/>
      <c r="G107" s="109">
        <f>G105*0.0315</f>
        <v>68.67</v>
      </c>
      <c r="H107" s="109"/>
      <c r="I107" s="109"/>
      <c r="J107" s="109">
        <f>J105*0.0315</f>
        <v>126</v>
      </c>
      <c r="K107" s="109"/>
      <c r="L107" s="109"/>
      <c r="M107" s="109">
        <f>M105*0.0315</f>
        <v>186.0075</v>
      </c>
      <c r="N107" s="109"/>
      <c r="O107" s="109"/>
      <c r="P107" s="109">
        <f>P105*0.0315</f>
        <v>260.82</v>
      </c>
      <c r="Q107" s="109"/>
      <c r="R107" s="109"/>
      <c r="S107" s="109">
        <f>S105*0.0315</f>
        <v>344.61</v>
      </c>
      <c r="T107" s="109"/>
      <c r="U107" s="109"/>
      <c r="V107" s="109">
        <f>V105*0.0315</f>
        <v>409.5</v>
      </c>
      <c r="W107" s="109"/>
      <c r="X107" s="109"/>
      <c r="Y107" s="109">
        <f>Y105*0.0315</f>
        <v>411.39</v>
      </c>
      <c r="Z107" s="109"/>
      <c r="AA107" s="109"/>
      <c r="AB107" s="109">
        <f>AB105*0.0315</f>
        <v>439.74</v>
      </c>
      <c r="AC107" s="109"/>
      <c r="AD107" s="109"/>
      <c r="AE107" s="109">
        <f>AE105*0.0315</f>
        <v>452.34</v>
      </c>
      <c r="AF107" s="109"/>
      <c r="AG107" s="109"/>
      <c r="AH107" s="109">
        <f>AH105*0.0315</f>
        <v>458.64</v>
      </c>
      <c r="AI107" s="109"/>
      <c r="AJ107" s="109"/>
      <c r="AK107" s="109">
        <f>AK105*0.0315</f>
        <v>533.61</v>
      </c>
      <c r="AL107" s="109"/>
      <c r="AM107" s="109"/>
      <c r="AO107" s="109">
        <f>SUM(G107:AM107)</f>
        <v>3691.3275000000003</v>
      </c>
      <c r="AP107" s="110"/>
      <c r="AQ107" s="110"/>
      <c r="AR107" s="110"/>
      <c r="AS107" s="108">
        <f aca="true" t="shared" si="20" ref="AS107:AS115">AO107/$AO$105*100</f>
        <v>3.15</v>
      </c>
      <c r="AT107" s="108"/>
    </row>
    <row r="108" spans="1:46" ht="12.75">
      <c r="A108" s="110" t="s">
        <v>229</v>
      </c>
      <c r="B108" s="110"/>
      <c r="C108" s="110"/>
      <c r="D108" s="110"/>
      <c r="E108" s="110"/>
      <c r="F108" s="110"/>
      <c r="G108" s="109">
        <f>G44+G80+G88+G96+G69</f>
        <v>327.05</v>
      </c>
      <c r="H108" s="109"/>
      <c r="I108" s="109"/>
      <c r="J108" s="109">
        <f>J44+J80+J88+J96+J69</f>
        <v>352.3</v>
      </c>
      <c r="K108" s="109"/>
      <c r="L108" s="109"/>
      <c r="M108" s="109">
        <f>M44+M80+M88+M96+M69</f>
        <v>377.55</v>
      </c>
      <c r="N108" s="109"/>
      <c r="O108" s="109"/>
      <c r="P108" s="109">
        <f>P44+P80+P88+P96+P69</f>
        <v>402.8</v>
      </c>
      <c r="Q108" s="109"/>
      <c r="R108" s="109"/>
      <c r="S108" s="109">
        <f>S44+S80+S88+S96+S69</f>
        <v>402.8</v>
      </c>
      <c r="T108" s="109"/>
      <c r="U108" s="109"/>
      <c r="V108" s="109">
        <f>V44+V80+V88+V96+V69</f>
        <v>402.8</v>
      </c>
      <c r="W108" s="109"/>
      <c r="X108" s="109"/>
      <c r="Y108" s="109">
        <f>Y44+Y80+Y88+Y96+Y69</f>
        <v>402.8</v>
      </c>
      <c r="Z108" s="109"/>
      <c r="AA108" s="109"/>
      <c r="AB108" s="109">
        <f>AB44+AB80+AB88+AB96+AB69</f>
        <v>402.8</v>
      </c>
      <c r="AC108" s="109"/>
      <c r="AD108" s="109"/>
      <c r="AE108" s="109">
        <f>AE44+AE80+AE88+AE96+AE69</f>
        <v>402.8</v>
      </c>
      <c r="AF108" s="109"/>
      <c r="AG108" s="109"/>
      <c r="AH108" s="109">
        <f>AH44+AH80+AH88+AH96+AH69</f>
        <v>402.8</v>
      </c>
      <c r="AI108" s="109"/>
      <c r="AJ108" s="109"/>
      <c r="AK108" s="109">
        <f>AK44+AK80+AK88+AK96+AK69</f>
        <v>402.8</v>
      </c>
      <c r="AL108" s="109"/>
      <c r="AM108" s="109"/>
      <c r="AO108" s="109">
        <f t="shared" si="19"/>
        <v>4279.300000000001</v>
      </c>
      <c r="AP108" s="110"/>
      <c r="AQ108" s="110"/>
      <c r="AR108" s="110"/>
      <c r="AS108" s="108">
        <f t="shared" si="20"/>
        <v>3.6517472372743964</v>
      </c>
      <c r="AT108" s="108"/>
    </row>
    <row r="109" spans="1:46" ht="12.75">
      <c r="A109" s="111" t="s">
        <v>78</v>
      </c>
      <c r="B109" s="111"/>
      <c r="C109" s="111"/>
      <c r="D109" s="111"/>
      <c r="E109" s="111"/>
      <c r="F109" s="111"/>
      <c r="G109" s="109">
        <f>G45+G81+G89+G97+G107+G69</f>
        <v>649.82</v>
      </c>
      <c r="H109" s="109"/>
      <c r="I109" s="109"/>
      <c r="J109" s="109">
        <f>J45+J81+J89+J97+J107+J69</f>
        <v>756.2919999999999</v>
      </c>
      <c r="K109" s="109"/>
      <c r="L109" s="109"/>
      <c r="M109" s="109">
        <f>M45+M81+M89+M97+M107+M69</f>
        <v>876.5645</v>
      </c>
      <c r="N109" s="109"/>
      <c r="O109" s="109"/>
      <c r="P109" s="109">
        <f>P45+P81+P89+P97+P107+P69</f>
        <v>1018.412</v>
      </c>
      <c r="Q109" s="109"/>
      <c r="R109" s="109"/>
      <c r="S109" s="109">
        <f>S45+S81+S89+S97+S107+S69</f>
        <v>1164.446</v>
      </c>
      <c r="T109" s="109"/>
      <c r="U109" s="109"/>
      <c r="V109" s="109">
        <f>V45+V81+V89+V97+V107+V69</f>
        <v>1248.8</v>
      </c>
      <c r="W109" s="109"/>
      <c r="X109" s="109"/>
      <c r="Y109" s="109">
        <f>Y45+Y81+Y89+Y97+Y107+Y69</f>
        <v>1270.2640000000001</v>
      </c>
      <c r="Z109" s="109"/>
      <c r="AA109" s="109"/>
      <c r="AB109" s="109">
        <f>AB45+AB81+AB89+AB97+AB107+AB69</f>
        <v>1317.552</v>
      </c>
      <c r="AC109" s="109"/>
      <c r="AD109" s="109"/>
      <c r="AE109" s="109">
        <f>AE45+AE81+AE89+AE97+AE107+AE69</f>
        <v>1338.772</v>
      </c>
      <c r="AF109" s="109"/>
      <c r="AG109" s="109"/>
      <c r="AH109" s="109">
        <f>AH45+AH81+AH89+AH97+AH107+AH69</f>
        <v>1349.312</v>
      </c>
      <c r="AI109" s="109"/>
      <c r="AJ109" s="109"/>
      <c r="AK109" s="109">
        <f>AK45+AK81+AK89+AK97+AK107+AK69</f>
        <v>1477.998842105263</v>
      </c>
      <c r="AL109" s="109"/>
      <c r="AM109" s="109"/>
      <c r="AO109" s="109">
        <f t="shared" si="19"/>
        <v>12468.233342105264</v>
      </c>
      <c r="AP109" s="110"/>
      <c r="AQ109" s="110"/>
      <c r="AR109" s="110"/>
      <c r="AS109" s="108">
        <f t="shared" si="20"/>
        <v>10.639786100699974</v>
      </c>
      <c r="AT109" s="108"/>
    </row>
    <row r="110" spans="1:46" ht="12.75">
      <c r="A110" s="111" t="s">
        <v>224</v>
      </c>
      <c r="B110" s="111"/>
      <c r="C110" s="111"/>
      <c r="D110" s="111"/>
      <c r="E110" s="111"/>
      <c r="F110" s="111"/>
      <c r="G110" s="109">
        <f>G100+G91+G83+G49</f>
        <v>-350.1732631578948</v>
      </c>
      <c r="H110" s="109"/>
      <c r="I110" s="109"/>
      <c r="J110" s="109">
        <f>J100+J91+J83+J49</f>
        <v>-302.29747368421056</v>
      </c>
      <c r="K110" s="109"/>
      <c r="L110" s="109"/>
      <c r="M110" s="109">
        <f>M100+M91+M83+M49</f>
        <v>-251.05221052631583</v>
      </c>
      <c r="N110" s="109"/>
      <c r="O110" s="109"/>
      <c r="P110" s="109">
        <f>P100+P91+P83+P49</f>
        <v>-185.69221052631585</v>
      </c>
      <c r="Q110" s="109"/>
      <c r="R110" s="109"/>
      <c r="S110" s="109">
        <f>S100+S91+S83+S49</f>
        <v>-91.17621052631578</v>
      </c>
      <c r="T110" s="109"/>
      <c r="U110" s="109"/>
      <c r="V110" s="109">
        <f>V100+V91+V83+V49</f>
        <v>-27.695789473684215</v>
      </c>
      <c r="W110" s="109"/>
      <c r="X110" s="109"/>
      <c r="Y110" s="109">
        <f>Y100+Y91+Y83+Y49</f>
        <v>3.5270526315789397</v>
      </c>
      <c r="Z110" s="109"/>
      <c r="AA110" s="109"/>
      <c r="AB110" s="109">
        <f>AB100+AB91+AB83+AB49</f>
        <v>28.63642105263156</v>
      </c>
      <c r="AC110" s="109"/>
      <c r="AD110" s="109"/>
      <c r="AE110" s="109">
        <f>AE100+AE91+AE83+AE49</f>
        <v>40.333473684210524</v>
      </c>
      <c r="AF110" s="109"/>
      <c r="AG110" s="109"/>
      <c r="AH110" s="109">
        <f>AH100+AH91+AH83+AH49</f>
        <v>46.22399999999999</v>
      </c>
      <c r="AI110" s="109"/>
      <c r="AJ110" s="109"/>
      <c r="AK110" s="109">
        <f>AK100+AK91+AK83+AK49</f>
        <v>78.50442105263156</v>
      </c>
      <c r="AL110" s="109"/>
      <c r="AM110" s="109"/>
      <c r="AO110" s="109">
        <f>SUM(G110:AM110)</f>
        <v>-1010.8617894736848</v>
      </c>
      <c r="AP110" s="110"/>
      <c r="AQ110" s="110"/>
      <c r="AR110" s="110"/>
      <c r="AS110" s="108">
        <f t="shared" si="20"/>
        <v>-0.8626204629207533</v>
      </c>
      <c r="AT110" s="108"/>
    </row>
    <row r="111" spans="1:46" ht="12.75">
      <c r="A111" s="111" t="s">
        <v>225</v>
      </c>
      <c r="B111" s="111"/>
      <c r="C111" s="111"/>
      <c r="D111" s="111"/>
      <c r="E111" s="111"/>
      <c r="F111" s="111"/>
      <c r="G111" s="109">
        <f>G98</f>
        <v>56</v>
      </c>
      <c r="H111" s="109"/>
      <c r="I111" s="109"/>
      <c r="J111" s="109">
        <f>J98</f>
        <v>63</v>
      </c>
      <c r="K111" s="109"/>
      <c r="L111" s="109"/>
      <c r="M111" s="109">
        <f>M98</f>
        <v>66.5</v>
      </c>
      <c r="N111" s="109"/>
      <c r="O111" s="109"/>
      <c r="P111" s="109">
        <f>P98</f>
        <v>70</v>
      </c>
      <c r="Q111" s="109"/>
      <c r="R111" s="109"/>
      <c r="S111" s="109">
        <f>S98</f>
        <v>70</v>
      </c>
      <c r="T111" s="109"/>
      <c r="U111" s="109"/>
      <c r="V111" s="109">
        <f>V98</f>
        <v>70</v>
      </c>
      <c r="W111" s="109"/>
      <c r="X111" s="109"/>
      <c r="Y111" s="109">
        <f>Y98</f>
        <v>70</v>
      </c>
      <c r="Z111" s="109"/>
      <c r="AA111" s="109"/>
      <c r="AB111" s="109">
        <f>AB98</f>
        <v>70</v>
      </c>
      <c r="AC111" s="109"/>
      <c r="AD111" s="109"/>
      <c r="AE111" s="109">
        <f>AE98</f>
        <v>70</v>
      </c>
      <c r="AF111" s="109"/>
      <c r="AG111" s="109"/>
      <c r="AH111" s="109">
        <f>AH98</f>
        <v>70</v>
      </c>
      <c r="AI111" s="109"/>
      <c r="AJ111" s="109"/>
      <c r="AK111" s="109">
        <f>AK98</f>
        <v>70</v>
      </c>
      <c r="AL111" s="109"/>
      <c r="AM111" s="109"/>
      <c r="AO111" s="109">
        <f>SUM(G111:AM111)</f>
        <v>745.5</v>
      </c>
      <c r="AP111" s="110"/>
      <c r="AQ111" s="110"/>
      <c r="AR111" s="110"/>
      <c r="AS111" s="108">
        <f t="shared" si="20"/>
        <v>0.636173571702863</v>
      </c>
      <c r="AT111" s="108"/>
    </row>
    <row r="112" spans="1:46" ht="12.75">
      <c r="A112" s="121" t="s">
        <v>80</v>
      </c>
      <c r="B112" s="114"/>
      <c r="C112" s="114"/>
      <c r="D112" s="114"/>
      <c r="E112" s="114"/>
      <c r="F112" s="114"/>
      <c r="G112" s="109">
        <v>0</v>
      </c>
      <c r="H112" s="109"/>
      <c r="I112" s="109"/>
      <c r="J112" s="109">
        <v>0</v>
      </c>
      <c r="K112" s="109"/>
      <c r="L112" s="109"/>
      <c r="M112" s="109">
        <v>0</v>
      </c>
      <c r="N112" s="109"/>
      <c r="O112" s="109"/>
      <c r="P112" s="109">
        <v>0</v>
      </c>
      <c r="Q112" s="109"/>
      <c r="R112" s="109"/>
      <c r="S112" s="109">
        <v>0</v>
      </c>
      <c r="T112" s="109"/>
      <c r="U112" s="109"/>
      <c r="V112" s="109">
        <v>0</v>
      </c>
      <c r="W112" s="109"/>
      <c r="X112" s="109"/>
      <c r="Y112" s="109">
        <f>-0.04*1400+25</f>
        <v>-31</v>
      </c>
      <c r="Z112" s="109"/>
      <c r="AA112" s="109"/>
      <c r="AB112" s="109">
        <f>-0.04*1400+25</f>
        <v>-31</v>
      </c>
      <c r="AC112" s="109"/>
      <c r="AD112" s="109"/>
      <c r="AE112" s="109">
        <f>-0.04*1400+25</f>
        <v>-31</v>
      </c>
      <c r="AF112" s="109"/>
      <c r="AG112" s="109"/>
      <c r="AH112" s="109">
        <f>-0.04*1400+25</f>
        <v>-31</v>
      </c>
      <c r="AI112" s="109"/>
      <c r="AJ112" s="109"/>
      <c r="AK112" s="109">
        <f>-0.04*1400+25</f>
        <v>-31</v>
      </c>
      <c r="AL112" s="109"/>
      <c r="AM112" s="109"/>
      <c r="AO112" s="109">
        <f>SUM(G112:AM112)</f>
        <v>-155</v>
      </c>
      <c r="AP112" s="110"/>
      <c r="AQ112" s="110"/>
      <c r="AR112" s="110"/>
      <c r="AS112" s="108">
        <f t="shared" si="20"/>
        <v>-0.13226948841575287</v>
      </c>
      <c r="AT112" s="108"/>
    </row>
    <row r="113" spans="1:46" ht="12.75">
      <c r="A113" s="110" t="s">
        <v>139</v>
      </c>
      <c r="B113" s="110"/>
      <c r="C113" s="110"/>
      <c r="D113" s="110"/>
      <c r="E113" s="110"/>
      <c r="F113" s="110"/>
      <c r="G113" s="109">
        <f>G109+G112-G110-G111</f>
        <v>943.9932631578948</v>
      </c>
      <c r="H113" s="109"/>
      <c r="I113" s="109"/>
      <c r="J113" s="109">
        <f>J109+J112-J110-J111</f>
        <v>995.5894736842106</v>
      </c>
      <c r="K113" s="109"/>
      <c r="L113" s="109"/>
      <c r="M113" s="109">
        <f>M109+M112-M110-M111</f>
        <v>1061.1167105263157</v>
      </c>
      <c r="N113" s="109"/>
      <c r="O113" s="109"/>
      <c r="P113" s="109">
        <f>P109+P112-P110-P111</f>
        <v>1134.104210526316</v>
      </c>
      <c r="Q113" s="109"/>
      <c r="R113" s="109"/>
      <c r="S113" s="109">
        <f>S109+S112-S110-S111</f>
        <v>1185.6222105263157</v>
      </c>
      <c r="T113" s="109"/>
      <c r="U113" s="109"/>
      <c r="V113" s="109">
        <f>V109+V112-V110-V111</f>
        <v>1206.4957894736842</v>
      </c>
      <c r="W113" s="109"/>
      <c r="X113" s="109"/>
      <c r="Y113" s="109">
        <f>Y109+Y112-Y110-Y111</f>
        <v>1165.7369473684212</v>
      </c>
      <c r="Z113" s="109"/>
      <c r="AA113" s="109"/>
      <c r="AB113" s="109">
        <f>AB109+AB112-AB110-AB111</f>
        <v>1187.9155789473684</v>
      </c>
      <c r="AC113" s="109"/>
      <c r="AD113" s="109"/>
      <c r="AE113" s="109">
        <f>AE109+AE112-AE110-AE111</f>
        <v>1197.4385263157894</v>
      </c>
      <c r="AF113" s="109"/>
      <c r="AG113" s="109"/>
      <c r="AH113" s="109">
        <f>AH109+AH112-AH110-AH111</f>
        <v>1202.088</v>
      </c>
      <c r="AI113" s="109"/>
      <c r="AJ113" s="109"/>
      <c r="AK113" s="109">
        <f>AK109+AK112-AK110-AK111</f>
        <v>1298.4944210526314</v>
      </c>
      <c r="AL113" s="109"/>
      <c r="AM113" s="109"/>
      <c r="AO113" s="109">
        <f t="shared" si="19"/>
        <v>12578.595131578948</v>
      </c>
      <c r="AP113" s="110"/>
      <c r="AQ113" s="110"/>
      <c r="AR113" s="110"/>
      <c r="AS113" s="108">
        <f t="shared" si="20"/>
        <v>10.73396350350211</v>
      </c>
      <c r="AT113" s="108"/>
    </row>
    <row r="114" spans="1:46" ht="12.75">
      <c r="A114" s="104" t="s">
        <v>138</v>
      </c>
      <c r="B114" s="104"/>
      <c r="C114" s="104"/>
      <c r="D114" s="104"/>
      <c r="E114" s="104"/>
      <c r="F114" s="104"/>
      <c r="G114" s="105">
        <f>G113/G105*100</f>
        <v>43.30244326412361</v>
      </c>
      <c r="H114" s="105"/>
      <c r="I114" s="105"/>
      <c r="J114" s="105">
        <f>J113/J105*100</f>
        <v>24.889736842105265</v>
      </c>
      <c r="K114" s="105"/>
      <c r="L114" s="105"/>
      <c r="M114" s="105">
        <f>M113/M105*100</f>
        <v>17.969800347609073</v>
      </c>
      <c r="N114" s="105"/>
      <c r="O114" s="105"/>
      <c r="P114" s="105">
        <f>P113/P105*100</f>
        <v>13.696910755148743</v>
      </c>
      <c r="Q114" s="105"/>
      <c r="R114" s="105"/>
      <c r="S114" s="105">
        <f>S113/S105*100</f>
        <v>10.837497353988262</v>
      </c>
      <c r="T114" s="105"/>
      <c r="U114" s="105"/>
      <c r="V114" s="105">
        <f>V113/V105*100</f>
        <v>9.280736842105263</v>
      </c>
      <c r="W114" s="105"/>
      <c r="X114" s="105"/>
      <c r="Y114" s="105">
        <f>Y113/Y105*100</f>
        <v>8.92601031675667</v>
      </c>
      <c r="Z114" s="105"/>
      <c r="AA114" s="105"/>
      <c r="AB114" s="105">
        <f>AB113/AB105*100</f>
        <v>8.509423917961092</v>
      </c>
      <c r="AC114" s="105"/>
      <c r="AD114" s="105"/>
      <c r="AE114" s="105">
        <f>AE113/AE105*100</f>
        <v>8.338708400527782</v>
      </c>
      <c r="AF114" s="105"/>
      <c r="AG114" s="105"/>
      <c r="AH114" s="105">
        <f>AH113/AH105*100</f>
        <v>8.2560989010989</v>
      </c>
      <c r="AI114" s="105"/>
      <c r="AJ114" s="105"/>
      <c r="AK114" s="105">
        <f>AK113/AK105*100</f>
        <v>7.665256322624743</v>
      </c>
      <c r="AL114" s="105"/>
      <c r="AM114" s="105"/>
      <c r="AO114" s="109">
        <f>SUM(J114:AJ114)/9</f>
        <v>12.300547075255672</v>
      </c>
      <c r="AP114" s="110"/>
      <c r="AQ114" s="110"/>
      <c r="AR114" s="110"/>
      <c r="AS114" s="108" t="s">
        <v>230</v>
      </c>
      <c r="AT114" s="108"/>
    </row>
    <row r="115" spans="1:46" ht="12.75">
      <c r="A115" s="110" t="s">
        <v>140</v>
      </c>
      <c r="B115" s="110"/>
      <c r="C115" s="110"/>
      <c r="D115" s="110"/>
      <c r="E115" s="110"/>
      <c r="F115" s="110"/>
      <c r="G115" s="109">
        <f>G105/100*$O$121</f>
        <v>503.0769230769231</v>
      </c>
      <c r="H115" s="109"/>
      <c r="I115" s="109"/>
      <c r="J115" s="109">
        <f>J105/100*$O$121</f>
        <v>923.0769230769231</v>
      </c>
      <c r="K115" s="109"/>
      <c r="L115" s="109"/>
      <c r="M115" s="109">
        <f>M105/100*$O$121</f>
        <v>1362.6923076923076</v>
      </c>
      <c r="N115" s="109"/>
      <c r="O115" s="109"/>
      <c r="P115" s="109">
        <f>P105/100*$O$121</f>
        <v>1910.7692307692307</v>
      </c>
      <c r="Q115" s="109"/>
      <c r="R115" s="109"/>
      <c r="S115" s="109">
        <f>S105/100*$O$121</f>
        <v>2524.6153846153848</v>
      </c>
      <c r="T115" s="109"/>
      <c r="U115" s="109"/>
      <c r="V115" s="109">
        <f>V105/100*$O$121</f>
        <v>3000</v>
      </c>
      <c r="W115" s="109"/>
      <c r="X115" s="109"/>
      <c r="Y115" s="109">
        <f>Y105/100*$O$121</f>
        <v>3013.846153846154</v>
      </c>
      <c r="Z115" s="109"/>
      <c r="AA115" s="109"/>
      <c r="AB115" s="109">
        <f>AB105/100*$O$121</f>
        <v>3221.5384615384614</v>
      </c>
      <c r="AC115" s="109"/>
      <c r="AD115" s="109"/>
      <c r="AE115" s="109">
        <f>AE105/100*$O$121</f>
        <v>3313.846153846154</v>
      </c>
      <c r="AF115" s="109"/>
      <c r="AG115" s="109"/>
      <c r="AH115" s="109">
        <f>AH105/100*$O$121</f>
        <v>3360</v>
      </c>
      <c r="AI115" s="109"/>
      <c r="AJ115" s="109"/>
      <c r="AK115" s="109">
        <f>AK105/100*$O$121</f>
        <v>3909.2307692307695</v>
      </c>
      <c r="AL115" s="109"/>
      <c r="AM115" s="109"/>
      <c r="AO115" s="109">
        <f>SUM(G115:AM115)</f>
        <v>27042.69230769231</v>
      </c>
      <c r="AP115" s="110"/>
      <c r="AQ115" s="110"/>
      <c r="AR115" s="110"/>
      <c r="AS115" s="108">
        <f t="shared" si="20"/>
        <v>23.076923076923077</v>
      </c>
      <c r="AT115" s="108"/>
    </row>
    <row r="116" spans="1:47" ht="12.75">
      <c r="A116" s="104" t="s">
        <v>141</v>
      </c>
      <c r="B116" s="104"/>
      <c r="C116" s="104"/>
      <c r="D116" s="104"/>
      <c r="E116" s="104"/>
      <c r="F116" s="104"/>
      <c r="G116" s="105">
        <f>G115-G113</f>
        <v>-440.91634008097174</v>
      </c>
      <c r="H116" s="105"/>
      <c r="I116" s="105"/>
      <c r="J116" s="105">
        <f>J115-J113</f>
        <v>-72.5125506072875</v>
      </c>
      <c r="K116" s="105"/>
      <c r="L116" s="105"/>
      <c r="M116" s="109">
        <f>M115-M113</f>
        <v>301.5755971659919</v>
      </c>
      <c r="N116" s="109"/>
      <c r="O116" s="109"/>
      <c r="P116" s="109">
        <f>P115-P113</f>
        <v>776.6650202429148</v>
      </c>
      <c r="Q116" s="109"/>
      <c r="R116" s="109"/>
      <c r="S116" s="109">
        <f>S115-S113</f>
        <v>1338.993174089069</v>
      </c>
      <c r="T116" s="109"/>
      <c r="U116" s="109"/>
      <c r="V116" s="109">
        <f>V115-V113</f>
        <v>1793.5042105263158</v>
      </c>
      <c r="W116" s="109"/>
      <c r="X116" s="109"/>
      <c r="Y116" s="109">
        <f>Y115-Y113</f>
        <v>1848.1092064777326</v>
      </c>
      <c r="Z116" s="109"/>
      <c r="AA116" s="109"/>
      <c r="AB116" s="109">
        <f>AB115-AB113</f>
        <v>2033.622882591093</v>
      </c>
      <c r="AC116" s="109"/>
      <c r="AD116" s="109"/>
      <c r="AE116" s="109">
        <f>AE115-AE113</f>
        <v>2116.407627530364</v>
      </c>
      <c r="AF116" s="109"/>
      <c r="AG116" s="109"/>
      <c r="AH116" s="109">
        <f>AH115-AH113</f>
        <v>2157.9120000000003</v>
      </c>
      <c r="AI116" s="109"/>
      <c r="AJ116" s="109"/>
      <c r="AK116" s="109">
        <f>AK115-AK113</f>
        <v>2610.736348178138</v>
      </c>
      <c r="AL116" s="109"/>
      <c r="AM116" s="109"/>
      <c r="AO116" s="109">
        <f>SUM(G116:AM116)</f>
        <v>14464.09717611336</v>
      </c>
      <c r="AP116" s="110"/>
      <c r="AQ116" s="110"/>
      <c r="AR116" s="110"/>
      <c r="AS116" s="108">
        <f>AO116/AO105*100</f>
        <v>12.342959573420966</v>
      </c>
      <c r="AT116" s="108"/>
      <c r="AU116" s="73" t="s">
        <v>152</v>
      </c>
    </row>
    <row r="117" spans="1:47" ht="12.75">
      <c r="A117" s="110" t="s">
        <v>227</v>
      </c>
      <c r="B117" s="110"/>
      <c r="C117" s="110"/>
      <c r="D117" s="110"/>
      <c r="E117" s="110"/>
      <c r="F117" s="110"/>
      <c r="G117" s="109">
        <f>G116/G105*100</f>
        <v>-20.225520187200537</v>
      </c>
      <c r="H117" s="109"/>
      <c r="I117" s="109"/>
      <c r="J117" s="109">
        <f>J116/J105*100</f>
        <v>-1.8128137651821874</v>
      </c>
      <c r="K117" s="109"/>
      <c r="L117" s="109"/>
      <c r="M117" s="109">
        <f>M116/M105*100</f>
        <v>5.107122729314003</v>
      </c>
      <c r="N117" s="109"/>
      <c r="O117" s="109"/>
      <c r="P117" s="109">
        <f>P116/P105*100</f>
        <v>9.380012321774334</v>
      </c>
      <c r="Q117" s="109"/>
      <c r="R117" s="109"/>
      <c r="S117" s="109">
        <f>S116/S105*100</f>
        <v>12.239425722934817</v>
      </c>
      <c r="T117" s="109"/>
      <c r="U117" s="109"/>
      <c r="V117" s="109">
        <f>V116/V105*100</f>
        <v>13.796186234817814</v>
      </c>
      <c r="W117" s="109"/>
      <c r="X117" s="109"/>
      <c r="Y117" s="109">
        <f>Y116/Y105*100</f>
        <v>14.150912760166406</v>
      </c>
      <c r="Z117" s="109"/>
      <c r="AA117" s="109"/>
      <c r="AB117" s="109">
        <f>AB116/AB105*100</f>
        <v>14.567499158961983</v>
      </c>
      <c r="AC117" s="109"/>
      <c r="AD117" s="109"/>
      <c r="AE117" s="109">
        <f>AE116/AE105*100</f>
        <v>14.738214676395295</v>
      </c>
      <c r="AF117" s="109"/>
      <c r="AG117" s="109"/>
      <c r="AH117" s="109">
        <f>AH116/AH105*100</f>
        <v>14.820824175824177</v>
      </c>
      <c r="AI117" s="109"/>
      <c r="AJ117" s="109"/>
      <c r="AK117" s="109">
        <f>AK116/AK105*100</f>
        <v>15.411666754298336</v>
      </c>
      <c r="AL117" s="109"/>
      <c r="AM117" s="109"/>
      <c r="AO117" s="109"/>
      <c r="AP117" s="110"/>
      <c r="AQ117" s="110"/>
      <c r="AR117" s="110"/>
      <c r="AS117" s="108"/>
      <c r="AT117" s="108"/>
      <c r="AU117" s="73"/>
    </row>
    <row r="118" spans="1:47" ht="12.75">
      <c r="A118" s="110" t="s">
        <v>226</v>
      </c>
      <c r="B118" s="110"/>
      <c r="C118" s="110"/>
      <c r="D118" s="110"/>
      <c r="E118" s="110"/>
      <c r="F118" s="110"/>
      <c r="G118" s="109">
        <f>IF(G116&lt;0,G116,0.8*G116)</f>
        <v>-440.91634008097174</v>
      </c>
      <c r="H118" s="109"/>
      <c r="I118" s="109"/>
      <c r="J118" s="109">
        <f>IF(J116&lt;0,J116,0.8*J116)</f>
        <v>-72.5125506072875</v>
      </c>
      <c r="K118" s="109"/>
      <c r="L118" s="109"/>
      <c r="M118" s="109">
        <f>IF(M116&lt;0,M116,0.8*M116)</f>
        <v>241.26047773279353</v>
      </c>
      <c r="N118" s="109"/>
      <c r="O118" s="109"/>
      <c r="P118" s="109">
        <f>IF(P116&lt;0,P116,0.8*P116)</f>
        <v>621.3320161943319</v>
      </c>
      <c r="Q118" s="109"/>
      <c r="R118" s="109"/>
      <c r="S118" s="109">
        <f>IF(S116&lt;0,S116,0.8*S116)</f>
        <v>1071.1945392712553</v>
      </c>
      <c r="T118" s="109"/>
      <c r="U118" s="109"/>
      <c r="V118" s="109">
        <f>IF(V116&lt;0,V116,0.8*V116)</f>
        <v>1434.8033684210527</v>
      </c>
      <c r="W118" s="109"/>
      <c r="X118" s="109"/>
      <c r="Y118" s="109">
        <f>IF(Y116&lt;0,Y116,0.8*Y116)</f>
        <v>1478.4873651821863</v>
      </c>
      <c r="Z118" s="109"/>
      <c r="AA118" s="109"/>
      <c r="AB118" s="109">
        <f>IF(AB116&lt;0,AB116,0.8*AB116)</f>
        <v>1626.8983060728744</v>
      </c>
      <c r="AC118" s="109"/>
      <c r="AD118" s="109"/>
      <c r="AE118" s="109">
        <f>IF(AE116&lt;0,AE116,0.8*AE116)</f>
        <v>1693.1261020242914</v>
      </c>
      <c r="AF118" s="109"/>
      <c r="AG118" s="109"/>
      <c r="AH118" s="109">
        <f>IF(AH116&lt;0,AH116,0.8*AH116)</f>
        <v>1726.3296000000003</v>
      </c>
      <c r="AI118" s="109"/>
      <c r="AJ118" s="109"/>
      <c r="AK118" s="109">
        <f>IF(AK116&lt;0,AK116,0.8*AK116)</f>
        <v>2088.5890785425104</v>
      </c>
      <c r="AL118" s="109"/>
      <c r="AM118" s="109"/>
      <c r="AO118" s="109">
        <f>SUM(G118:AM118)</f>
        <v>11468.591962753038</v>
      </c>
      <c r="AP118" s="110"/>
      <c r="AQ118" s="110"/>
      <c r="AR118" s="110"/>
      <c r="AS118" s="108">
        <f>AO118/AO105*100</f>
        <v>9.786740592015223</v>
      </c>
      <c r="AT118" s="108"/>
      <c r="AU118" s="73" t="s">
        <v>152</v>
      </c>
    </row>
    <row r="119" spans="1:47" ht="12.75">
      <c r="A119" s="110" t="s">
        <v>232</v>
      </c>
      <c r="B119" s="110"/>
      <c r="C119" s="110"/>
      <c r="D119" s="110"/>
      <c r="E119" s="110"/>
      <c r="F119" s="110"/>
      <c r="G119" s="109">
        <f>G118/G105*100</f>
        <v>-20.225520187200537</v>
      </c>
      <c r="H119" s="109"/>
      <c r="I119" s="109"/>
      <c r="J119" s="109">
        <f>J118/J105*100</f>
        <v>-1.8128137651821874</v>
      </c>
      <c r="K119" s="109"/>
      <c r="L119" s="109"/>
      <c r="M119" s="109">
        <f>M118/M105*100</f>
        <v>4.085698183451203</v>
      </c>
      <c r="N119" s="109"/>
      <c r="O119" s="109"/>
      <c r="P119" s="109">
        <f>P118/P105*100</f>
        <v>7.504009857419468</v>
      </c>
      <c r="Q119" s="109"/>
      <c r="R119" s="109"/>
      <c r="S119" s="109">
        <f>S118/S105*100</f>
        <v>9.791540578347854</v>
      </c>
      <c r="T119" s="109"/>
      <c r="U119" s="109"/>
      <c r="V119" s="109">
        <f>V118/V105*100</f>
        <v>11.036948987854252</v>
      </c>
      <c r="W119" s="109"/>
      <c r="X119" s="109"/>
      <c r="Y119" s="109">
        <f>Y118/Y105*100</f>
        <v>11.320730208133126</v>
      </c>
      <c r="Z119" s="109"/>
      <c r="AA119" s="109"/>
      <c r="AB119" s="109">
        <f>AB118/AB105*100</f>
        <v>11.653999327169588</v>
      </c>
      <c r="AC119" s="109"/>
      <c r="AD119" s="109"/>
      <c r="AE119" s="109">
        <f>AE118/AE105*100</f>
        <v>11.790571741116237</v>
      </c>
      <c r="AF119" s="109"/>
      <c r="AG119" s="109"/>
      <c r="AH119" s="109">
        <f>AH118/AH105*100</f>
        <v>11.856659340659343</v>
      </c>
      <c r="AI119" s="109"/>
      <c r="AJ119" s="109"/>
      <c r="AK119" s="109">
        <f>AK118/AK105*100</f>
        <v>12.329333403438667</v>
      </c>
      <c r="AL119" s="109"/>
      <c r="AM119" s="109"/>
      <c r="AN119" s="108" t="s">
        <v>233</v>
      </c>
      <c r="AO119" s="108"/>
      <c r="AP119" s="108"/>
      <c r="AQ119" s="108"/>
      <c r="AR119" s="108"/>
      <c r="AS119" s="108"/>
      <c r="AT119" s="108"/>
      <c r="AU119" s="73"/>
    </row>
    <row r="120" spans="1:44" ht="13.5" thickBot="1">
      <c r="A120" s="110" t="s">
        <v>235</v>
      </c>
      <c r="B120" s="110"/>
      <c r="C120" s="110"/>
      <c r="D120" s="110"/>
      <c r="E120" s="110"/>
      <c r="F120" s="110"/>
      <c r="G120" s="74" t="s">
        <v>143</v>
      </c>
      <c r="H120" s="74" t="s">
        <v>144</v>
      </c>
      <c r="I120" s="74" t="s">
        <v>145</v>
      </c>
      <c r="J120" s="74" t="s">
        <v>146</v>
      </c>
      <c r="K120" s="74" t="s">
        <v>147</v>
      </c>
      <c r="L120" s="74" t="s">
        <v>148</v>
      </c>
      <c r="M120" s="109">
        <f>M118/(M105/(100+$Y$121)*100)*100</f>
        <v>5.311407638486563</v>
      </c>
      <c r="N120" s="109"/>
      <c r="O120" s="109"/>
      <c r="P120" s="109">
        <f>P118/(P105/(100+$Y$121)*100)*100</f>
        <v>9.755212814645308</v>
      </c>
      <c r="Q120" s="109"/>
      <c r="R120" s="109"/>
      <c r="S120" s="109">
        <f>S118/(S105/(100+$Y$121)*100)*100</f>
        <v>12.729002751852212</v>
      </c>
      <c r="T120" s="109"/>
      <c r="U120" s="109"/>
      <c r="V120" s="109">
        <f>V118/(V105/(100+$Y$121)*100)*100</f>
        <v>14.348033684210526</v>
      </c>
      <c r="W120" s="109"/>
      <c r="X120" s="109"/>
      <c r="Y120" s="109">
        <f>Y118/(Y105/(100+$Y$121)*100)*100</f>
        <v>14.716949270573062</v>
      </c>
      <c r="Z120" s="109"/>
      <c r="AA120" s="109"/>
      <c r="AB120" s="109">
        <f>AB118/(AB105/(100+$Y$121)*100)*100</f>
        <v>15.150199125320462</v>
      </c>
      <c r="AC120" s="109"/>
      <c r="AD120" s="109"/>
      <c r="AE120" s="109">
        <f>AE118/(AE105/(100+$Y$121)*100)*100</f>
        <v>15.327743263451104</v>
      </c>
      <c r="AF120" s="109"/>
      <c r="AG120" s="109"/>
      <c r="AH120" s="109">
        <f>AH118/(AH105/(100+$Y$121)*100)*100</f>
        <v>15.413657142857145</v>
      </c>
      <c r="AI120" s="109"/>
      <c r="AJ120" s="109"/>
      <c r="AK120" s="109">
        <f>AK118/(AK105/(100+$Y$121)*100)*100</f>
        <v>16.028133424470266</v>
      </c>
      <c r="AL120" s="109"/>
      <c r="AM120" s="109"/>
      <c r="AN120" s="108" t="s">
        <v>234</v>
      </c>
      <c r="AO120" s="108"/>
      <c r="AP120" s="108"/>
      <c r="AQ120" s="108"/>
      <c r="AR120" s="108"/>
    </row>
    <row r="121" spans="1:46" ht="12.75">
      <c r="A121" s="110" t="s">
        <v>142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>
        <v>23.076923076923077</v>
      </c>
      <c r="P121" s="110"/>
      <c r="Q121" s="70" t="s">
        <v>33</v>
      </c>
      <c r="R121" s="110" t="s">
        <v>151</v>
      </c>
      <c r="S121" s="110"/>
      <c r="T121" s="110" t="s">
        <v>150</v>
      </c>
      <c r="U121" s="110"/>
      <c r="V121" s="110"/>
      <c r="W121" s="110"/>
      <c r="X121" s="110"/>
      <c r="Y121" s="110">
        <v>30</v>
      </c>
      <c r="Z121" s="110"/>
      <c r="AA121" s="70" t="s">
        <v>33</v>
      </c>
      <c r="AD121" s="106" t="s">
        <v>346</v>
      </c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10"/>
      <c r="AT121" s="110"/>
    </row>
    <row r="122" spans="1:45" ht="12.75">
      <c r="A122" s="110" t="s">
        <v>231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09">
        <f>Y121/(100+Y121)*100</f>
        <v>23.076923076923077</v>
      </c>
      <c r="N122" s="109"/>
      <c r="O122" s="109"/>
      <c r="P122" s="109"/>
      <c r="Q122" s="110" t="s">
        <v>152</v>
      </c>
      <c r="R122" s="110"/>
      <c r="S122" s="110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75"/>
    </row>
    <row r="123" spans="1:6" ht="12.75">
      <c r="A123" s="96" t="s">
        <v>351</v>
      </c>
      <c r="B123" s="96"/>
      <c r="C123" s="96"/>
      <c r="D123" s="96"/>
      <c r="E123" s="96"/>
      <c r="F123" s="96"/>
    </row>
    <row r="124" spans="1:39" ht="12.75">
      <c r="A124" s="96"/>
      <c r="B124" s="96"/>
      <c r="C124" s="96"/>
      <c r="D124" s="96"/>
      <c r="E124" s="96"/>
      <c r="F124" s="96"/>
      <c r="G124" s="109">
        <f>G118/G113*100</f>
        <v>-46.70757274326257</v>
      </c>
      <c r="H124" s="109"/>
      <c r="I124" s="109"/>
      <c r="J124" s="109">
        <f>J118/J113*100</f>
        <v>-7.28337859368405</v>
      </c>
      <c r="K124" s="109"/>
      <c r="L124" s="109"/>
      <c r="M124" s="109">
        <f>M118/M113*100</f>
        <v>22.736469545666463</v>
      </c>
      <c r="N124" s="109"/>
      <c r="O124" s="109"/>
      <c r="P124" s="109">
        <f>P118/P113*100</f>
        <v>54.78614843568773</v>
      </c>
      <c r="Q124" s="109"/>
      <c r="R124" s="109"/>
      <c r="S124" s="109">
        <f>S118/S113*100</f>
        <v>90.34872405061776</v>
      </c>
      <c r="T124" s="109"/>
      <c r="U124" s="109"/>
      <c r="V124" s="109">
        <f>V118/V113*100</f>
        <v>118.92319732395953</v>
      </c>
      <c r="W124" s="109"/>
      <c r="X124" s="109"/>
      <c r="Y124" s="109">
        <f>Y118/Y113*100</f>
        <v>126.82855840846254</v>
      </c>
      <c r="Z124" s="109"/>
      <c r="AA124" s="109"/>
      <c r="AB124" s="109">
        <f>AB118/AB113*100</f>
        <v>136.9540340159943</v>
      </c>
      <c r="AC124" s="109"/>
      <c r="AD124" s="109"/>
      <c r="AE124" s="109">
        <f>AE118/AE113*100</f>
        <v>141.39565955286284</v>
      </c>
      <c r="AF124" s="109"/>
      <c r="AG124" s="109"/>
      <c r="AH124" s="109">
        <f>AH118/AH113*100</f>
        <v>143.61091700441236</v>
      </c>
      <c r="AI124" s="109"/>
      <c r="AJ124" s="109"/>
      <c r="AK124" s="109">
        <f>AK118/AK113*100</f>
        <v>160.8469812946431</v>
      </c>
      <c r="AL124" s="109"/>
      <c r="AM124" s="109"/>
    </row>
  </sheetData>
  <mergeCells count="1416">
    <mergeCell ref="AO69:AR69"/>
    <mergeCell ref="AB69:AD69"/>
    <mergeCell ref="AE69:AG69"/>
    <mergeCell ref="AH69:AJ69"/>
    <mergeCell ref="AK69:AM69"/>
    <mergeCell ref="A69:F69"/>
    <mergeCell ref="G69:I69"/>
    <mergeCell ref="J69:L69"/>
    <mergeCell ref="M69:O69"/>
    <mergeCell ref="AB124:AD124"/>
    <mergeCell ref="AE124:AG124"/>
    <mergeCell ref="AH124:AJ124"/>
    <mergeCell ref="AK124:AM124"/>
    <mergeCell ref="P124:R124"/>
    <mergeCell ref="S124:U124"/>
    <mergeCell ref="V124:X124"/>
    <mergeCell ref="Y124:AA124"/>
    <mergeCell ref="A123:F124"/>
    <mergeCell ref="G124:I124"/>
    <mergeCell ref="J124:L124"/>
    <mergeCell ref="M124:O124"/>
    <mergeCell ref="AS121:AT121"/>
    <mergeCell ref="A122:L122"/>
    <mergeCell ref="M122:P122"/>
    <mergeCell ref="Q122:S122"/>
    <mergeCell ref="AK120:AM120"/>
    <mergeCell ref="AN120:AR120"/>
    <mergeCell ref="A121:N121"/>
    <mergeCell ref="O121:P121"/>
    <mergeCell ref="R121:S121"/>
    <mergeCell ref="T121:X121"/>
    <mergeCell ref="Y121:Z121"/>
    <mergeCell ref="AD121:AR122"/>
    <mergeCell ref="AS119:AT119"/>
    <mergeCell ref="A120:F120"/>
    <mergeCell ref="M120:O120"/>
    <mergeCell ref="P120:R120"/>
    <mergeCell ref="S120:U120"/>
    <mergeCell ref="V120:X120"/>
    <mergeCell ref="Y120:AA120"/>
    <mergeCell ref="AB120:AD120"/>
    <mergeCell ref="AE120:AG120"/>
    <mergeCell ref="AH120:AJ120"/>
    <mergeCell ref="AB119:AD119"/>
    <mergeCell ref="AE119:AG119"/>
    <mergeCell ref="AH119:AJ119"/>
    <mergeCell ref="AN119:AR119"/>
    <mergeCell ref="AO118:AR118"/>
    <mergeCell ref="AS118:AT118"/>
    <mergeCell ref="A119:F119"/>
    <mergeCell ref="G119:I119"/>
    <mergeCell ref="J119:L119"/>
    <mergeCell ref="M119:O119"/>
    <mergeCell ref="P119:R119"/>
    <mergeCell ref="S119:U119"/>
    <mergeCell ref="V119:X119"/>
    <mergeCell ref="Y119:AA119"/>
    <mergeCell ref="AB118:AD118"/>
    <mergeCell ref="AE118:AG118"/>
    <mergeCell ref="AH118:AJ118"/>
    <mergeCell ref="AK118:AM118"/>
    <mergeCell ref="P118:R118"/>
    <mergeCell ref="S118:U118"/>
    <mergeCell ref="V118:X118"/>
    <mergeCell ref="Y118:AA118"/>
    <mergeCell ref="A118:F118"/>
    <mergeCell ref="G118:I118"/>
    <mergeCell ref="J118:L118"/>
    <mergeCell ref="M118:O118"/>
    <mergeCell ref="AH117:AJ117"/>
    <mergeCell ref="AK117:AM117"/>
    <mergeCell ref="AO117:AR117"/>
    <mergeCell ref="AS117:AT117"/>
    <mergeCell ref="AO116:AR116"/>
    <mergeCell ref="AS116:AT116"/>
    <mergeCell ref="A117:F117"/>
    <mergeCell ref="G117:I117"/>
    <mergeCell ref="J117:L117"/>
    <mergeCell ref="M117:O117"/>
    <mergeCell ref="P117:R117"/>
    <mergeCell ref="S117:U117"/>
    <mergeCell ref="V117:X117"/>
    <mergeCell ref="Y117:AA117"/>
    <mergeCell ref="AO115:AR115"/>
    <mergeCell ref="AS115:AT115"/>
    <mergeCell ref="A116:F116"/>
    <mergeCell ref="G116:I116"/>
    <mergeCell ref="J116:L116"/>
    <mergeCell ref="M116:O116"/>
    <mergeCell ref="P116:R116"/>
    <mergeCell ref="S116:U116"/>
    <mergeCell ref="V116:X116"/>
    <mergeCell ref="Y116:AA116"/>
    <mergeCell ref="AS114:AT114"/>
    <mergeCell ref="A115:F115"/>
    <mergeCell ref="G115:I115"/>
    <mergeCell ref="J115:L115"/>
    <mergeCell ref="M115:O115"/>
    <mergeCell ref="P115:R115"/>
    <mergeCell ref="S115:U115"/>
    <mergeCell ref="V115:X115"/>
    <mergeCell ref="Y115:AA115"/>
    <mergeCell ref="AK115:AM115"/>
    <mergeCell ref="AE114:AG114"/>
    <mergeCell ref="AH114:AJ114"/>
    <mergeCell ref="AK114:AM114"/>
    <mergeCell ref="AO114:AR114"/>
    <mergeCell ref="AS113:AT113"/>
    <mergeCell ref="A114:F114"/>
    <mergeCell ref="G114:I114"/>
    <mergeCell ref="J114:L114"/>
    <mergeCell ref="M114:O114"/>
    <mergeCell ref="P114:R114"/>
    <mergeCell ref="S114:U114"/>
    <mergeCell ref="V114:X114"/>
    <mergeCell ref="Y114:AA114"/>
    <mergeCell ref="AB114:AD114"/>
    <mergeCell ref="AB113:AD113"/>
    <mergeCell ref="AH113:AJ113"/>
    <mergeCell ref="AK113:AM113"/>
    <mergeCell ref="AO113:AR113"/>
    <mergeCell ref="AO112:AR112"/>
    <mergeCell ref="AS112:AT112"/>
    <mergeCell ref="A113:F113"/>
    <mergeCell ref="G113:I113"/>
    <mergeCell ref="J113:L113"/>
    <mergeCell ref="M113:O113"/>
    <mergeCell ref="P113:R113"/>
    <mergeCell ref="S113:U113"/>
    <mergeCell ref="V113:X113"/>
    <mergeCell ref="Y113:AA113"/>
    <mergeCell ref="AB112:AD112"/>
    <mergeCell ref="AE112:AG112"/>
    <mergeCell ref="AH112:AJ112"/>
    <mergeCell ref="AK112:AM112"/>
    <mergeCell ref="AO111:AR111"/>
    <mergeCell ref="AS111:AT111"/>
    <mergeCell ref="A112:F112"/>
    <mergeCell ref="G112:I112"/>
    <mergeCell ref="J112:L112"/>
    <mergeCell ref="M112:O112"/>
    <mergeCell ref="P112:R112"/>
    <mergeCell ref="S112:U112"/>
    <mergeCell ref="V112:X112"/>
    <mergeCell ref="Y112:AA112"/>
    <mergeCell ref="AB111:AD111"/>
    <mergeCell ref="AE111:AG111"/>
    <mergeCell ref="AH111:AJ111"/>
    <mergeCell ref="AK111:AM111"/>
    <mergeCell ref="P111:R111"/>
    <mergeCell ref="S111:U111"/>
    <mergeCell ref="V111:X111"/>
    <mergeCell ref="Y111:AA111"/>
    <mergeCell ref="A111:F111"/>
    <mergeCell ref="G111:I111"/>
    <mergeCell ref="J111:L111"/>
    <mergeCell ref="M111:O111"/>
    <mergeCell ref="AH110:AJ110"/>
    <mergeCell ref="AK110:AM110"/>
    <mergeCell ref="AO110:AR110"/>
    <mergeCell ref="AS110:AT110"/>
    <mergeCell ref="P110:R110"/>
    <mergeCell ref="S110:U110"/>
    <mergeCell ref="V110:X110"/>
    <mergeCell ref="Y110:AA110"/>
    <mergeCell ref="A110:F110"/>
    <mergeCell ref="G110:I110"/>
    <mergeCell ref="J110:L110"/>
    <mergeCell ref="M110:O110"/>
    <mergeCell ref="AH109:AJ109"/>
    <mergeCell ref="AK109:AM109"/>
    <mergeCell ref="AO109:AR109"/>
    <mergeCell ref="AS109:AT109"/>
    <mergeCell ref="P109:R109"/>
    <mergeCell ref="S109:U109"/>
    <mergeCell ref="V109:X109"/>
    <mergeCell ref="Y109:AA109"/>
    <mergeCell ref="A109:F109"/>
    <mergeCell ref="G109:I109"/>
    <mergeCell ref="J109:L109"/>
    <mergeCell ref="M109:O109"/>
    <mergeCell ref="AH108:AJ108"/>
    <mergeCell ref="AK108:AM108"/>
    <mergeCell ref="AO108:AR108"/>
    <mergeCell ref="AS108:AT108"/>
    <mergeCell ref="P108:R108"/>
    <mergeCell ref="S108:U108"/>
    <mergeCell ref="V108:X108"/>
    <mergeCell ref="Y108:AA108"/>
    <mergeCell ref="A108:F108"/>
    <mergeCell ref="G108:I108"/>
    <mergeCell ref="J108:L108"/>
    <mergeCell ref="M108:O108"/>
    <mergeCell ref="AH107:AJ107"/>
    <mergeCell ref="AK107:AM107"/>
    <mergeCell ref="AO107:AR107"/>
    <mergeCell ref="AS107:AT107"/>
    <mergeCell ref="AO106:AR106"/>
    <mergeCell ref="AS106:AT106"/>
    <mergeCell ref="A107:F107"/>
    <mergeCell ref="G107:I107"/>
    <mergeCell ref="J107:L107"/>
    <mergeCell ref="M107:O107"/>
    <mergeCell ref="P107:R107"/>
    <mergeCell ref="S107:U107"/>
    <mergeCell ref="V107:X107"/>
    <mergeCell ref="AE107:AG107"/>
    <mergeCell ref="AO105:AR105"/>
    <mergeCell ref="AS105:AT105"/>
    <mergeCell ref="A106:F106"/>
    <mergeCell ref="G106:I106"/>
    <mergeCell ref="J106:L106"/>
    <mergeCell ref="M106:O106"/>
    <mergeCell ref="P106:R106"/>
    <mergeCell ref="S106:U106"/>
    <mergeCell ref="V106:X106"/>
    <mergeCell ref="Y106:AA106"/>
    <mergeCell ref="AS104:AT104"/>
    <mergeCell ref="A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4:AG104"/>
    <mergeCell ref="AH104:AJ104"/>
    <mergeCell ref="AK104:AM104"/>
    <mergeCell ref="AO104:AR104"/>
    <mergeCell ref="S104:U104"/>
    <mergeCell ref="V104:X104"/>
    <mergeCell ref="Y104:AA104"/>
    <mergeCell ref="AB104:AD104"/>
    <mergeCell ref="G104:I104"/>
    <mergeCell ref="J104:L104"/>
    <mergeCell ref="M104:O104"/>
    <mergeCell ref="P104:R104"/>
    <mergeCell ref="A101:AD101"/>
    <mergeCell ref="AE101:AH101"/>
    <mergeCell ref="A103:F103"/>
    <mergeCell ref="I103:S103"/>
    <mergeCell ref="T103:U103"/>
    <mergeCell ref="AA103:AB103"/>
    <mergeCell ref="AE100:AG100"/>
    <mergeCell ref="AH100:AJ100"/>
    <mergeCell ref="AK100:AM100"/>
    <mergeCell ref="AO100:AR100"/>
    <mergeCell ref="AK99:AM99"/>
    <mergeCell ref="AO99:AR99"/>
    <mergeCell ref="A100:F100"/>
    <mergeCell ref="G100:I100"/>
    <mergeCell ref="J100:L100"/>
    <mergeCell ref="M100:O100"/>
    <mergeCell ref="P100:R100"/>
    <mergeCell ref="S100:U100"/>
    <mergeCell ref="V100:X100"/>
    <mergeCell ref="Y100:AA100"/>
    <mergeCell ref="Y99:AA99"/>
    <mergeCell ref="AB99:AD99"/>
    <mergeCell ref="AE99:AG99"/>
    <mergeCell ref="AH99:AJ99"/>
    <mergeCell ref="A99:F99"/>
    <mergeCell ref="G99:I99"/>
    <mergeCell ref="J99:L99"/>
    <mergeCell ref="M99:O99"/>
    <mergeCell ref="AE98:AG98"/>
    <mergeCell ref="AH98:AJ98"/>
    <mergeCell ref="AK98:AM98"/>
    <mergeCell ref="AO98:AR98"/>
    <mergeCell ref="AO97:AR97"/>
    <mergeCell ref="A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B97:AD97"/>
    <mergeCell ref="AE97:AG97"/>
    <mergeCell ref="AH97:AJ97"/>
    <mergeCell ref="AK97:AM97"/>
    <mergeCell ref="P97:R97"/>
    <mergeCell ref="S97:U97"/>
    <mergeCell ref="V97:X97"/>
    <mergeCell ref="Y97:AA97"/>
    <mergeCell ref="A97:F97"/>
    <mergeCell ref="G97:I97"/>
    <mergeCell ref="J97:L97"/>
    <mergeCell ref="M97:O97"/>
    <mergeCell ref="AE96:AG96"/>
    <mergeCell ref="AH96:AJ96"/>
    <mergeCell ref="AK96:AM96"/>
    <mergeCell ref="AO96:AR96"/>
    <mergeCell ref="AO95:AR95"/>
    <mergeCell ref="A96:F96"/>
    <mergeCell ref="G96:I96"/>
    <mergeCell ref="J96:L96"/>
    <mergeCell ref="M96:O96"/>
    <mergeCell ref="P96:R96"/>
    <mergeCell ref="S96:U96"/>
    <mergeCell ref="V96:X96"/>
    <mergeCell ref="Y96:AA96"/>
    <mergeCell ref="AB96:AD96"/>
    <mergeCell ref="AB95:AD95"/>
    <mergeCell ref="AE95:AG95"/>
    <mergeCell ref="AH95:AJ95"/>
    <mergeCell ref="AK95:AM95"/>
    <mergeCell ref="P95:R95"/>
    <mergeCell ref="S95:U95"/>
    <mergeCell ref="V95:X95"/>
    <mergeCell ref="Y95:AA95"/>
    <mergeCell ref="A95:F95"/>
    <mergeCell ref="G95:I95"/>
    <mergeCell ref="J95:L95"/>
    <mergeCell ref="M95:O95"/>
    <mergeCell ref="AE94:AG94"/>
    <mergeCell ref="AH94:AJ94"/>
    <mergeCell ref="AK94:AM94"/>
    <mergeCell ref="AO94:AR94"/>
    <mergeCell ref="AO93:AR93"/>
    <mergeCell ref="A94:F94"/>
    <mergeCell ref="G94:I94"/>
    <mergeCell ref="J94:L94"/>
    <mergeCell ref="M94:O94"/>
    <mergeCell ref="P94:R94"/>
    <mergeCell ref="S94:U94"/>
    <mergeCell ref="V94:X94"/>
    <mergeCell ref="Y94:AA94"/>
    <mergeCell ref="AB94:AD94"/>
    <mergeCell ref="S93:U93"/>
    <mergeCell ref="V93:X93"/>
    <mergeCell ref="Y93:AA93"/>
    <mergeCell ref="AB93:AD93"/>
    <mergeCell ref="G93:I93"/>
    <mergeCell ref="J93:L93"/>
    <mergeCell ref="M93:O93"/>
    <mergeCell ref="P93:R93"/>
    <mergeCell ref="AO91:AR91"/>
    <mergeCell ref="A92:F92"/>
    <mergeCell ref="I92:S92"/>
    <mergeCell ref="T92:U92"/>
    <mergeCell ref="AA92:AB92"/>
    <mergeCell ref="AB91:AD91"/>
    <mergeCell ref="AE91:AG91"/>
    <mergeCell ref="AH91:AJ91"/>
    <mergeCell ref="AK91:AM91"/>
    <mergeCell ref="P91:R91"/>
    <mergeCell ref="S91:U91"/>
    <mergeCell ref="V91:X91"/>
    <mergeCell ref="Y91:AA91"/>
    <mergeCell ref="A91:F91"/>
    <mergeCell ref="G91:I91"/>
    <mergeCell ref="J91:L91"/>
    <mergeCell ref="M91:O91"/>
    <mergeCell ref="AE90:AG90"/>
    <mergeCell ref="AH90:AJ90"/>
    <mergeCell ref="AK90:AM90"/>
    <mergeCell ref="AO90:AR90"/>
    <mergeCell ref="S90:U90"/>
    <mergeCell ref="V90:X90"/>
    <mergeCell ref="Y90:AA90"/>
    <mergeCell ref="AB90:AD90"/>
    <mergeCell ref="AE89:AG89"/>
    <mergeCell ref="AH89:AJ89"/>
    <mergeCell ref="AK89:AM89"/>
    <mergeCell ref="AO89:AR89"/>
    <mergeCell ref="AO88:AR88"/>
    <mergeCell ref="A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B88:AD88"/>
    <mergeCell ref="AE88:AG88"/>
    <mergeCell ref="AH88:AJ88"/>
    <mergeCell ref="AK88:AM88"/>
    <mergeCell ref="P88:R88"/>
    <mergeCell ref="S88:U88"/>
    <mergeCell ref="V88:X88"/>
    <mergeCell ref="Y88:AA88"/>
    <mergeCell ref="A88:F88"/>
    <mergeCell ref="G88:I88"/>
    <mergeCell ref="J88:L88"/>
    <mergeCell ref="M88:O88"/>
    <mergeCell ref="AE87:AG87"/>
    <mergeCell ref="AH87:AJ87"/>
    <mergeCell ref="AK87:AM87"/>
    <mergeCell ref="AO87:AR87"/>
    <mergeCell ref="P87:R87"/>
    <mergeCell ref="S87:U87"/>
    <mergeCell ref="V87:X87"/>
    <mergeCell ref="Y87:AA87"/>
    <mergeCell ref="A87:F87"/>
    <mergeCell ref="G87:I87"/>
    <mergeCell ref="J87:L87"/>
    <mergeCell ref="M87:O87"/>
    <mergeCell ref="AH85:AJ85"/>
    <mergeCell ref="AK85:AM85"/>
    <mergeCell ref="AO85:AR85"/>
    <mergeCell ref="A86:F86"/>
    <mergeCell ref="G86:I86"/>
    <mergeCell ref="J86:L86"/>
    <mergeCell ref="M86:O86"/>
    <mergeCell ref="AK86:AM86"/>
    <mergeCell ref="AO86:AR86"/>
    <mergeCell ref="V85:X85"/>
    <mergeCell ref="Y85:AA85"/>
    <mergeCell ref="AB85:AD85"/>
    <mergeCell ref="AE85:AG85"/>
    <mergeCell ref="G85:I85"/>
    <mergeCell ref="J85:L85"/>
    <mergeCell ref="M85:O85"/>
    <mergeCell ref="P85:R85"/>
    <mergeCell ref="AO83:AR83"/>
    <mergeCell ref="A84:F84"/>
    <mergeCell ref="I84:S84"/>
    <mergeCell ref="T84:U84"/>
    <mergeCell ref="AA84:AB84"/>
    <mergeCell ref="AB83:AD83"/>
    <mergeCell ref="AE83:AG83"/>
    <mergeCell ref="AH83:AJ83"/>
    <mergeCell ref="AK83:AM83"/>
    <mergeCell ref="P83:R83"/>
    <mergeCell ref="A83:F83"/>
    <mergeCell ref="G83:I83"/>
    <mergeCell ref="J83:L83"/>
    <mergeCell ref="M83:O83"/>
    <mergeCell ref="AE82:AG82"/>
    <mergeCell ref="AH82:AJ82"/>
    <mergeCell ref="AK82:AM82"/>
    <mergeCell ref="AO82:AR82"/>
    <mergeCell ref="AO81:AR81"/>
    <mergeCell ref="A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P81:R81"/>
    <mergeCell ref="S81:U81"/>
    <mergeCell ref="V81:X81"/>
    <mergeCell ref="Y81:AA81"/>
    <mergeCell ref="A81:F81"/>
    <mergeCell ref="G81:I81"/>
    <mergeCell ref="J81:L81"/>
    <mergeCell ref="M81:O81"/>
    <mergeCell ref="AE80:AG80"/>
    <mergeCell ref="AH80:AJ80"/>
    <mergeCell ref="AK80:AM80"/>
    <mergeCell ref="AO80:AR80"/>
    <mergeCell ref="AE79:AG79"/>
    <mergeCell ref="AH79:AJ79"/>
    <mergeCell ref="AK79:AM79"/>
    <mergeCell ref="AO79:AR79"/>
    <mergeCell ref="AO78:AR78"/>
    <mergeCell ref="A79:F79"/>
    <mergeCell ref="G79:I79"/>
    <mergeCell ref="J79:L79"/>
    <mergeCell ref="M79:O79"/>
    <mergeCell ref="P79:R79"/>
    <mergeCell ref="S79:U79"/>
    <mergeCell ref="V79:X79"/>
    <mergeCell ref="Y79:AA79"/>
    <mergeCell ref="AB79:AD79"/>
    <mergeCell ref="AB78:AD78"/>
    <mergeCell ref="AE78:AG78"/>
    <mergeCell ref="AH78:AJ78"/>
    <mergeCell ref="AK78:AM78"/>
    <mergeCell ref="AH77:AJ77"/>
    <mergeCell ref="AK77:AM77"/>
    <mergeCell ref="AO77:AR77"/>
    <mergeCell ref="A78:F78"/>
    <mergeCell ref="G78:I78"/>
    <mergeCell ref="J78:L78"/>
    <mergeCell ref="M78:O78"/>
    <mergeCell ref="P78:R78"/>
    <mergeCell ref="S78:U78"/>
    <mergeCell ref="V78:X78"/>
    <mergeCell ref="AK76:AM76"/>
    <mergeCell ref="AO76:AR76"/>
    <mergeCell ref="A77:F77"/>
    <mergeCell ref="G77:I77"/>
    <mergeCell ref="J77:L77"/>
    <mergeCell ref="M77:O77"/>
    <mergeCell ref="P77:R77"/>
    <mergeCell ref="S77:U77"/>
    <mergeCell ref="V77:X77"/>
    <mergeCell ref="Y77:AA77"/>
    <mergeCell ref="P50:R50"/>
    <mergeCell ref="P76:R76"/>
    <mergeCell ref="S76:U76"/>
    <mergeCell ref="V76:X76"/>
    <mergeCell ref="P69:R69"/>
    <mergeCell ref="S69:U69"/>
    <mergeCell ref="V69:X69"/>
    <mergeCell ref="S51:U51"/>
    <mergeCell ref="V62:X62"/>
    <mergeCell ref="V63:X63"/>
    <mergeCell ref="A50:F50"/>
    <mergeCell ref="G50:I50"/>
    <mergeCell ref="J50:L50"/>
    <mergeCell ref="M50:O50"/>
    <mergeCell ref="A75:F75"/>
    <mergeCell ref="I75:S75"/>
    <mergeCell ref="T75:U75"/>
    <mergeCell ref="AA75:AB75"/>
    <mergeCell ref="W75:Z75"/>
    <mergeCell ref="AE49:AG49"/>
    <mergeCell ref="AH49:AJ49"/>
    <mergeCell ref="AK49:AM49"/>
    <mergeCell ref="AO49:AR49"/>
    <mergeCell ref="AO48:AR48"/>
    <mergeCell ref="A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B48:AD48"/>
    <mergeCell ref="AE48:AG48"/>
    <mergeCell ref="AH48:AJ48"/>
    <mergeCell ref="AK48:AM48"/>
    <mergeCell ref="AK46:AM46"/>
    <mergeCell ref="AO46:AR46"/>
    <mergeCell ref="A48:F48"/>
    <mergeCell ref="G48:I48"/>
    <mergeCell ref="J48:L48"/>
    <mergeCell ref="M48:O48"/>
    <mergeCell ref="P48:R48"/>
    <mergeCell ref="S48:U48"/>
    <mergeCell ref="V48:X48"/>
    <mergeCell ref="Y48:AA48"/>
    <mergeCell ref="P46:R46"/>
    <mergeCell ref="S46:U46"/>
    <mergeCell ref="V46:X46"/>
    <mergeCell ref="AH46:AJ46"/>
    <mergeCell ref="A46:F46"/>
    <mergeCell ref="G46:I46"/>
    <mergeCell ref="J46:L46"/>
    <mergeCell ref="M46:O46"/>
    <mergeCell ref="AH44:AJ44"/>
    <mergeCell ref="AK44:AM44"/>
    <mergeCell ref="AO44:AR44"/>
    <mergeCell ref="G45:I45"/>
    <mergeCell ref="J45:L45"/>
    <mergeCell ref="M45:O45"/>
    <mergeCell ref="P45:R45"/>
    <mergeCell ref="AH45:AJ45"/>
    <mergeCell ref="AK45:AM45"/>
    <mergeCell ref="AO45:AR45"/>
    <mergeCell ref="V44:X44"/>
    <mergeCell ref="Y44:AA44"/>
    <mergeCell ref="AB44:AD44"/>
    <mergeCell ref="AE44:AG44"/>
    <mergeCell ref="J44:L44"/>
    <mergeCell ref="M44:O44"/>
    <mergeCell ref="P44:R44"/>
    <mergeCell ref="S44:U44"/>
    <mergeCell ref="AE43:AG43"/>
    <mergeCell ref="AH43:AJ43"/>
    <mergeCell ref="AK43:AM43"/>
    <mergeCell ref="AO43:AR43"/>
    <mergeCell ref="AO42:AR42"/>
    <mergeCell ref="A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B42:AD42"/>
    <mergeCell ref="AE42:AG42"/>
    <mergeCell ref="AH42:AJ42"/>
    <mergeCell ref="AK42:AM42"/>
    <mergeCell ref="M42:O42"/>
    <mergeCell ref="P42:R42"/>
    <mergeCell ref="S42:U42"/>
    <mergeCell ref="Y42:AA42"/>
    <mergeCell ref="AK40:AM40"/>
    <mergeCell ref="AO40:AR40"/>
    <mergeCell ref="A41:X41"/>
    <mergeCell ref="Y41:AA41"/>
    <mergeCell ref="AB41:AD41"/>
    <mergeCell ref="AE41:AG41"/>
    <mergeCell ref="AH41:AJ41"/>
    <mergeCell ref="AK41:AM41"/>
    <mergeCell ref="AO41:AR41"/>
    <mergeCell ref="Y40:AA40"/>
    <mergeCell ref="AE40:AG40"/>
    <mergeCell ref="AH40:AJ40"/>
    <mergeCell ref="M40:O40"/>
    <mergeCell ref="P40:R40"/>
    <mergeCell ref="S40:U40"/>
    <mergeCell ref="V40:X40"/>
    <mergeCell ref="A38:F38"/>
    <mergeCell ref="A40:F40"/>
    <mergeCell ref="G40:I40"/>
    <mergeCell ref="J40:L40"/>
    <mergeCell ref="A39:F39"/>
    <mergeCell ref="G39:I39"/>
    <mergeCell ref="J39:L39"/>
    <mergeCell ref="AE35:AG35"/>
    <mergeCell ref="AH35:AJ35"/>
    <mergeCell ref="AK35:AM35"/>
    <mergeCell ref="AO35:AR35"/>
    <mergeCell ref="AO34:AR34"/>
    <mergeCell ref="A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B34:AD34"/>
    <mergeCell ref="AE34:AG34"/>
    <mergeCell ref="AH34:AJ34"/>
    <mergeCell ref="AK34:AM34"/>
    <mergeCell ref="AK33:AM33"/>
    <mergeCell ref="AO33:AR33"/>
    <mergeCell ref="A34:F34"/>
    <mergeCell ref="G34:I34"/>
    <mergeCell ref="J34:L34"/>
    <mergeCell ref="M34:O34"/>
    <mergeCell ref="P34:R34"/>
    <mergeCell ref="S34:U34"/>
    <mergeCell ref="V34:X34"/>
    <mergeCell ref="Y34:AA34"/>
    <mergeCell ref="Y33:AA33"/>
    <mergeCell ref="AB33:AD33"/>
    <mergeCell ref="AE33:AG33"/>
    <mergeCell ref="AH33:AJ33"/>
    <mergeCell ref="A33:F33"/>
    <mergeCell ref="G33:I33"/>
    <mergeCell ref="J33:L33"/>
    <mergeCell ref="M33:O33"/>
    <mergeCell ref="AE31:AG31"/>
    <mergeCell ref="AH31:AJ31"/>
    <mergeCell ref="AK31:AM31"/>
    <mergeCell ref="AO31:AR31"/>
    <mergeCell ref="AK30:AM30"/>
    <mergeCell ref="AO30:AR30"/>
    <mergeCell ref="A31:F31"/>
    <mergeCell ref="G31:I31"/>
    <mergeCell ref="J31:L31"/>
    <mergeCell ref="M31:O31"/>
    <mergeCell ref="P31:R31"/>
    <mergeCell ref="S31:U31"/>
    <mergeCell ref="V31:X31"/>
    <mergeCell ref="Y31:AA31"/>
    <mergeCell ref="Y30:AA30"/>
    <mergeCell ref="AB30:AD30"/>
    <mergeCell ref="AE30:AG30"/>
    <mergeCell ref="AH30:AJ30"/>
    <mergeCell ref="A30:F30"/>
    <mergeCell ref="G30:I30"/>
    <mergeCell ref="J30:L30"/>
    <mergeCell ref="M30:O30"/>
    <mergeCell ref="AE29:AG29"/>
    <mergeCell ref="AH29:AJ29"/>
    <mergeCell ref="AK29:AM29"/>
    <mergeCell ref="AO29:AR29"/>
    <mergeCell ref="AK28:AM28"/>
    <mergeCell ref="AO28:AR28"/>
    <mergeCell ref="A29:F29"/>
    <mergeCell ref="G29:I29"/>
    <mergeCell ref="J29:L29"/>
    <mergeCell ref="M29:O29"/>
    <mergeCell ref="P29:R29"/>
    <mergeCell ref="S29:U29"/>
    <mergeCell ref="V29:X29"/>
    <mergeCell ref="Y29:AA29"/>
    <mergeCell ref="AO23:AR23"/>
    <mergeCell ref="A26:F26"/>
    <mergeCell ref="A28:F28"/>
    <mergeCell ref="G28:I28"/>
    <mergeCell ref="J28:L28"/>
    <mergeCell ref="M28:O28"/>
    <mergeCell ref="P28:R28"/>
    <mergeCell ref="S28:U28"/>
    <mergeCell ref="V28:X28"/>
    <mergeCell ref="Y28:AA28"/>
    <mergeCell ref="AB23:AD23"/>
    <mergeCell ref="AE23:AG23"/>
    <mergeCell ref="AH23:AJ23"/>
    <mergeCell ref="AK23:AM23"/>
    <mergeCell ref="AH22:AJ22"/>
    <mergeCell ref="AK22:AM22"/>
    <mergeCell ref="AO22:AR22"/>
    <mergeCell ref="A23:F23"/>
    <mergeCell ref="G23:I23"/>
    <mergeCell ref="J23:L23"/>
    <mergeCell ref="M23:O23"/>
    <mergeCell ref="P23:R23"/>
    <mergeCell ref="S23:U23"/>
    <mergeCell ref="V23:X23"/>
    <mergeCell ref="AO21:AR21"/>
    <mergeCell ref="A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B21:AD21"/>
    <mergeCell ref="AE21:AG21"/>
    <mergeCell ref="AH21:AJ21"/>
    <mergeCell ref="AK21:AM21"/>
    <mergeCell ref="P21:R21"/>
    <mergeCell ref="S21:U21"/>
    <mergeCell ref="V21:X21"/>
    <mergeCell ref="Y21:AA21"/>
    <mergeCell ref="A21:F21"/>
    <mergeCell ref="G21:I21"/>
    <mergeCell ref="J21:L21"/>
    <mergeCell ref="M21:O21"/>
    <mergeCell ref="AE19:AG19"/>
    <mergeCell ref="AH19:AJ19"/>
    <mergeCell ref="AK19:AM19"/>
    <mergeCell ref="AO19:AR19"/>
    <mergeCell ref="AO18:AR18"/>
    <mergeCell ref="A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18:F18"/>
    <mergeCell ref="G18:I18"/>
    <mergeCell ref="J18:L18"/>
    <mergeCell ref="M18:O18"/>
    <mergeCell ref="AE17:AG17"/>
    <mergeCell ref="AH17:AJ17"/>
    <mergeCell ref="AK17:AM17"/>
    <mergeCell ref="AO17:AR17"/>
    <mergeCell ref="AK16:AM16"/>
    <mergeCell ref="AO16:AR16"/>
    <mergeCell ref="A17:F17"/>
    <mergeCell ref="G17:I17"/>
    <mergeCell ref="J17:L17"/>
    <mergeCell ref="M17:O17"/>
    <mergeCell ref="P17:R17"/>
    <mergeCell ref="S17:U17"/>
    <mergeCell ref="V17:X17"/>
    <mergeCell ref="Y17:AA17"/>
    <mergeCell ref="AK11:AM11"/>
    <mergeCell ref="AO11:AR11"/>
    <mergeCell ref="A14:F14"/>
    <mergeCell ref="A16:F16"/>
    <mergeCell ref="G16:I16"/>
    <mergeCell ref="J16:L16"/>
    <mergeCell ref="A15:F15"/>
    <mergeCell ref="G15:I15"/>
    <mergeCell ref="J15:L15"/>
    <mergeCell ref="P16:R16"/>
    <mergeCell ref="Y11:AA11"/>
    <mergeCell ref="AB11:AD11"/>
    <mergeCell ref="AE11:AG11"/>
    <mergeCell ref="AH11:AJ11"/>
    <mergeCell ref="A11:F11"/>
    <mergeCell ref="G11:I11"/>
    <mergeCell ref="J11:L11"/>
    <mergeCell ref="M11:O11"/>
    <mergeCell ref="AE10:AG10"/>
    <mergeCell ref="AH10:AJ10"/>
    <mergeCell ref="AK10:AM10"/>
    <mergeCell ref="AO10:AR10"/>
    <mergeCell ref="AK9:AM9"/>
    <mergeCell ref="AO9:AR9"/>
    <mergeCell ref="A10:F10"/>
    <mergeCell ref="G10:I10"/>
    <mergeCell ref="J10:L10"/>
    <mergeCell ref="M10:O10"/>
    <mergeCell ref="P10:R10"/>
    <mergeCell ref="S10:U10"/>
    <mergeCell ref="V10:X10"/>
    <mergeCell ref="Y10:AA10"/>
    <mergeCell ref="Y9:AA9"/>
    <mergeCell ref="AB9:AD9"/>
    <mergeCell ref="AE9:AG9"/>
    <mergeCell ref="AH9:AJ9"/>
    <mergeCell ref="A9:F9"/>
    <mergeCell ref="G9:I9"/>
    <mergeCell ref="J9:L9"/>
    <mergeCell ref="M9:O9"/>
    <mergeCell ref="AE7:AG7"/>
    <mergeCell ref="AH7:AJ7"/>
    <mergeCell ref="AK7:AM7"/>
    <mergeCell ref="AO7:AR7"/>
    <mergeCell ref="AK6:AM6"/>
    <mergeCell ref="AO6:AR6"/>
    <mergeCell ref="G7:I7"/>
    <mergeCell ref="J7:L7"/>
    <mergeCell ref="M7:O7"/>
    <mergeCell ref="P7:R7"/>
    <mergeCell ref="S7:U7"/>
    <mergeCell ref="V7:X7"/>
    <mergeCell ref="Y7:AA7"/>
    <mergeCell ref="AB7:AD7"/>
    <mergeCell ref="Y6:AA6"/>
    <mergeCell ref="AB6:AD6"/>
    <mergeCell ref="AE6:AG6"/>
    <mergeCell ref="AH6:AJ6"/>
    <mergeCell ref="AH5:AJ5"/>
    <mergeCell ref="AK5:AM5"/>
    <mergeCell ref="AO5:AR5"/>
    <mergeCell ref="A6:F6"/>
    <mergeCell ref="G6:I6"/>
    <mergeCell ref="J6:L6"/>
    <mergeCell ref="M6:O6"/>
    <mergeCell ref="P6:R6"/>
    <mergeCell ref="S6:U6"/>
    <mergeCell ref="V6:X6"/>
    <mergeCell ref="AK4:AM4"/>
    <mergeCell ref="AO4:AR4"/>
    <mergeCell ref="A5:F5"/>
    <mergeCell ref="G5:I5"/>
    <mergeCell ref="J5:L5"/>
    <mergeCell ref="M5:O5"/>
    <mergeCell ref="P5:R5"/>
    <mergeCell ref="S5:U5"/>
    <mergeCell ref="V5:X5"/>
    <mergeCell ref="Y5:AA5"/>
    <mergeCell ref="A4:F4"/>
    <mergeCell ref="G4:I4"/>
    <mergeCell ref="J4:L4"/>
    <mergeCell ref="M4:O4"/>
    <mergeCell ref="S4:U4"/>
    <mergeCell ref="V4:X4"/>
    <mergeCell ref="G1:I1"/>
    <mergeCell ref="J1:L1"/>
    <mergeCell ref="M1:O1"/>
    <mergeCell ref="P1:R1"/>
    <mergeCell ref="P4:R4"/>
    <mergeCell ref="G3:I3"/>
    <mergeCell ref="J3:L3"/>
    <mergeCell ref="M3:O3"/>
    <mergeCell ref="P9:R9"/>
    <mergeCell ref="S9:U9"/>
    <mergeCell ref="V9:X9"/>
    <mergeCell ref="P11:R11"/>
    <mergeCell ref="S11:U11"/>
    <mergeCell ref="V11:X11"/>
    <mergeCell ref="S30:U30"/>
    <mergeCell ref="V30:X30"/>
    <mergeCell ref="P33:R33"/>
    <mergeCell ref="S33:U33"/>
    <mergeCell ref="V33:X33"/>
    <mergeCell ref="P32:R32"/>
    <mergeCell ref="S32:U32"/>
    <mergeCell ref="V32:X32"/>
    <mergeCell ref="Y69:AA69"/>
    <mergeCell ref="S47:U47"/>
    <mergeCell ref="V47:X47"/>
    <mergeCell ref="S50:U50"/>
    <mergeCell ref="V50:X50"/>
    <mergeCell ref="Y51:AA51"/>
    <mergeCell ref="Y52:AA52"/>
    <mergeCell ref="Y54:AA54"/>
    <mergeCell ref="S57:U57"/>
    <mergeCell ref="V57:X57"/>
    <mergeCell ref="AB1:AD1"/>
    <mergeCell ref="AE1:AG1"/>
    <mergeCell ref="AH1:AJ1"/>
    <mergeCell ref="A3:F3"/>
    <mergeCell ref="P3:R3"/>
    <mergeCell ref="S3:U3"/>
    <mergeCell ref="V3:X3"/>
    <mergeCell ref="S1:U1"/>
    <mergeCell ref="V1:X1"/>
    <mergeCell ref="AK1:AM1"/>
    <mergeCell ref="AO1:AR1"/>
    <mergeCell ref="A2:F2"/>
    <mergeCell ref="Y3:AA3"/>
    <mergeCell ref="AB3:AD3"/>
    <mergeCell ref="AE3:AG3"/>
    <mergeCell ref="AH3:AJ3"/>
    <mergeCell ref="AK3:AM3"/>
    <mergeCell ref="AO3:AR3"/>
    <mergeCell ref="Y1:AA1"/>
    <mergeCell ref="Y4:AA4"/>
    <mergeCell ref="AB4:AD4"/>
    <mergeCell ref="AE4:AG4"/>
    <mergeCell ref="AH4:AJ4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O15:AR15"/>
    <mergeCell ref="A27:F27"/>
    <mergeCell ref="G27:I27"/>
    <mergeCell ref="J27:L27"/>
    <mergeCell ref="M27:O27"/>
    <mergeCell ref="P27:R27"/>
    <mergeCell ref="S27:U27"/>
    <mergeCell ref="V27:X27"/>
    <mergeCell ref="AH27:AJ27"/>
    <mergeCell ref="A7:F7"/>
    <mergeCell ref="AB5:AD5"/>
    <mergeCell ref="AE5:AG5"/>
    <mergeCell ref="Y27:AA27"/>
    <mergeCell ref="AB27:AD27"/>
    <mergeCell ref="AE27:AG27"/>
    <mergeCell ref="A8:F8"/>
    <mergeCell ref="G8:I8"/>
    <mergeCell ref="J8:L8"/>
    <mergeCell ref="M8:O8"/>
    <mergeCell ref="AO27:AR27"/>
    <mergeCell ref="M39:O39"/>
    <mergeCell ref="P39:R39"/>
    <mergeCell ref="S39:U39"/>
    <mergeCell ref="V39:X39"/>
    <mergeCell ref="Y39:AA39"/>
    <mergeCell ref="AB39:AD39"/>
    <mergeCell ref="AE39:AG39"/>
    <mergeCell ref="AH39:AJ39"/>
    <mergeCell ref="P30:R30"/>
    <mergeCell ref="AO39:AR39"/>
    <mergeCell ref="A1:E1"/>
    <mergeCell ref="P8:R8"/>
    <mergeCell ref="S8:U8"/>
    <mergeCell ref="V8:X8"/>
    <mergeCell ref="Y8:AA8"/>
    <mergeCell ref="AB8:AD8"/>
    <mergeCell ref="A12:F12"/>
    <mergeCell ref="AB10:AD10"/>
    <mergeCell ref="AK27:AM27"/>
    <mergeCell ref="AE8:AG8"/>
    <mergeCell ref="AH8:AJ8"/>
    <mergeCell ref="AK8:AM8"/>
    <mergeCell ref="AO8:AR8"/>
    <mergeCell ref="A20:F20"/>
    <mergeCell ref="G20:I20"/>
    <mergeCell ref="J20:L20"/>
    <mergeCell ref="M20:O20"/>
    <mergeCell ref="M16:O16"/>
    <mergeCell ref="AE20:AG20"/>
    <mergeCell ref="AH20:AJ20"/>
    <mergeCell ref="P20:R20"/>
    <mergeCell ref="S20:U20"/>
    <mergeCell ref="V20:X20"/>
    <mergeCell ref="Y20:AA20"/>
    <mergeCell ref="S16:U16"/>
    <mergeCell ref="V16:X16"/>
    <mergeCell ref="Y16:AA16"/>
    <mergeCell ref="AK20:AM20"/>
    <mergeCell ref="P18:R18"/>
    <mergeCell ref="S18:U18"/>
    <mergeCell ref="V18:X18"/>
    <mergeCell ref="Y18:AA18"/>
    <mergeCell ref="AB18:AD18"/>
    <mergeCell ref="AE18:AG18"/>
    <mergeCell ref="AB20:AD20"/>
    <mergeCell ref="AH18:AJ18"/>
    <mergeCell ref="AK18:AM18"/>
    <mergeCell ref="AO20:AR20"/>
    <mergeCell ref="A32:F32"/>
    <mergeCell ref="G32:I32"/>
    <mergeCell ref="J32:L32"/>
    <mergeCell ref="M32:O32"/>
    <mergeCell ref="Y32:AA32"/>
    <mergeCell ref="AB32:AD32"/>
    <mergeCell ref="AE32:AG32"/>
    <mergeCell ref="AH32:AJ32"/>
    <mergeCell ref="AK32:AM32"/>
    <mergeCell ref="AO32:AR3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O12:AR12"/>
    <mergeCell ref="A47:F47"/>
    <mergeCell ref="G47:I47"/>
    <mergeCell ref="J47:L47"/>
    <mergeCell ref="M47:O47"/>
    <mergeCell ref="P47:R47"/>
    <mergeCell ref="Y47:AA47"/>
    <mergeCell ref="AB47:AD47"/>
    <mergeCell ref="AE47:AG47"/>
    <mergeCell ref="AH47:AJ47"/>
    <mergeCell ref="AK47:AM47"/>
    <mergeCell ref="AE24:AG24"/>
    <mergeCell ref="AH24:AJ24"/>
    <mergeCell ref="AK24:AM24"/>
    <mergeCell ref="AE36:AG36"/>
    <mergeCell ref="AH36:AJ36"/>
    <mergeCell ref="AK36:AM36"/>
    <mergeCell ref="AK39:AM39"/>
    <mergeCell ref="AO47:AR47"/>
    <mergeCell ref="A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Y23:AA23"/>
    <mergeCell ref="AO24:AR24"/>
    <mergeCell ref="A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V36:X36"/>
    <mergeCell ref="Y36:AA36"/>
    <mergeCell ref="A36:F36"/>
    <mergeCell ref="G36:I36"/>
    <mergeCell ref="J36:L36"/>
    <mergeCell ref="M36:O36"/>
    <mergeCell ref="M51:O51"/>
    <mergeCell ref="AE51:AG51"/>
    <mergeCell ref="AB36:AD36"/>
    <mergeCell ref="AO36:AR36"/>
    <mergeCell ref="Y50:AA50"/>
    <mergeCell ref="AB50:AD50"/>
    <mergeCell ref="AE50:AG50"/>
    <mergeCell ref="AH50:AJ50"/>
    <mergeCell ref="AK50:AM50"/>
    <mergeCell ref="AO50:AR50"/>
    <mergeCell ref="AB51:AD51"/>
    <mergeCell ref="P37:R37"/>
    <mergeCell ref="S37:U37"/>
    <mergeCell ref="V37:X37"/>
    <mergeCell ref="AB37:AD37"/>
    <mergeCell ref="V42:X42"/>
    <mergeCell ref="S45:U45"/>
    <mergeCell ref="V45:X45"/>
    <mergeCell ref="AB40:AD40"/>
    <mergeCell ref="Y37:AA37"/>
    <mergeCell ref="AH51:AJ51"/>
    <mergeCell ref="AK51:AM51"/>
    <mergeCell ref="AO51:AR51"/>
    <mergeCell ref="A52:F52"/>
    <mergeCell ref="G52:I52"/>
    <mergeCell ref="J52:L52"/>
    <mergeCell ref="M52:O52"/>
    <mergeCell ref="P52:R52"/>
    <mergeCell ref="S52:U52"/>
    <mergeCell ref="V52:X52"/>
    <mergeCell ref="AB52:AD52"/>
    <mergeCell ref="AE52:AG52"/>
    <mergeCell ref="AH52:AJ52"/>
    <mergeCell ref="AK52:AM52"/>
    <mergeCell ref="AO52:AR52"/>
    <mergeCell ref="A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O53:AR53"/>
    <mergeCell ref="G42:I42"/>
    <mergeCell ref="A54:F54"/>
    <mergeCell ref="G54:I54"/>
    <mergeCell ref="J54:L54"/>
    <mergeCell ref="A51:F51"/>
    <mergeCell ref="G51:I51"/>
    <mergeCell ref="J51:L51"/>
    <mergeCell ref="J42:L42"/>
    <mergeCell ref="A44:F44"/>
    <mergeCell ref="G44:I44"/>
    <mergeCell ref="M54:O54"/>
    <mergeCell ref="P54:R54"/>
    <mergeCell ref="S54:U54"/>
    <mergeCell ref="V54:X54"/>
    <mergeCell ref="AB54:AD54"/>
    <mergeCell ref="AE54:AG54"/>
    <mergeCell ref="AH54:AJ54"/>
    <mergeCell ref="A45:F45"/>
    <mergeCell ref="Y45:AA45"/>
    <mergeCell ref="AB45:AD45"/>
    <mergeCell ref="AE45:AG45"/>
    <mergeCell ref="Y46:AA46"/>
    <mergeCell ref="AB46:AD46"/>
    <mergeCell ref="AE46:AG46"/>
    <mergeCell ref="AK54:AM54"/>
    <mergeCell ref="AO54:AR54"/>
    <mergeCell ref="A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O55:AR55"/>
    <mergeCell ref="A56:F56"/>
    <mergeCell ref="G56:I56"/>
    <mergeCell ref="J56:L56"/>
    <mergeCell ref="M56:O56"/>
    <mergeCell ref="P56:R56"/>
    <mergeCell ref="S56:U56"/>
    <mergeCell ref="V56:X56"/>
    <mergeCell ref="Y56:AA56"/>
    <mergeCell ref="AK56:AM56"/>
    <mergeCell ref="AB56:AD56"/>
    <mergeCell ref="AE56:AG56"/>
    <mergeCell ref="AH56:AJ56"/>
    <mergeCell ref="V61:X61"/>
    <mergeCell ref="Y61:AA61"/>
    <mergeCell ref="AB61:AD61"/>
    <mergeCell ref="AE61:AG61"/>
    <mergeCell ref="AH61:AJ61"/>
    <mergeCell ref="AH58:AJ58"/>
    <mergeCell ref="AH57:AJ57"/>
    <mergeCell ref="AO56:AR56"/>
    <mergeCell ref="AO60:AR60"/>
    <mergeCell ref="A61:F61"/>
    <mergeCell ref="G61:I61"/>
    <mergeCell ref="J61:L61"/>
    <mergeCell ref="M61:O61"/>
    <mergeCell ref="P61:R61"/>
    <mergeCell ref="S61:U61"/>
    <mergeCell ref="AK61:AM61"/>
    <mergeCell ref="A57:F57"/>
    <mergeCell ref="G76:I76"/>
    <mergeCell ref="J76:L76"/>
    <mergeCell ref="M76:O76"/>
    <mergeCell ref="AO61:AR61"/>
    <mergeCell ref="G62:I62"/>
    <mergeCell ref="J62:L62"/>
    <mergeCell ref="M62:O62"/>
    <mergeCell ref="P62:R62"/>
    <mergeCell ref="S62:U62"/>
    <mergeCell ref="Y62:AA62"/>
    <mergeCell ref="A62:F62"/>
    <mergeCell ref="AB62:AD62"/>
    <mergeCell ref="AE62:AG62"/>
    <mergeCell ref="AH62:AJ62"/>
    <mergeCell ref="A80:F80"/>
    <mergeCell ref="G80:I80"/>
    <mergeCell ref="J80:L80"/>
    <mergeCell ref="M80:O80"/>
    <mergeCell ref="P64:R64"/>
    <mergeCell ref="S64:U64"/>
    <mergeCell ref="V64:X64"/>
    <mergeCell ref="AO62:AR62"/>
    <mergeCell ref="Y63:AA63"/>
    <mergeCell ref="AB63:AD63"/>
    <mergeCell ref="AE63:AG63"/>
    <mergeCell ref="AH63:AJ63"/>
    <mergeCell ref="AK63:AM63"/>
    <mergeCell ref="AO63:AR63"/>
    <mergeCell ref="AK62:AM62"/>
    <mergeCell ref="AK81:AM81"/>
    <mergeCell ref="A63:F63"/>
    <mergeCell ref="G63:I63"/>
    <mergeCell ref="J63:L63"/>
    <mergeCell ref="M63:O63"/>
    <mergeCell ref="P80:R80"/>
    <mergeCell ref="Y80:AA80"/>
    <mergeCell ref="AB80:AD80"/>
    <mergeCell ref="P63:R63"/>
    <mergeCell ref="A64:F64"/>
    <mergeCell ref="G64:I64"/>
    <mergeCell ref="J64:L64"/>
    <mergeCell ref="M64:O64"/>
    <mergeCell ref="AB64:AD64"/>
    <mergeCell ref="AE64:AG64"/>
    <mergeCell ref="AH64:AJ64"/>
    <mergeCell ref="S63:U63"/>
    <mergeCell ref="AK64:AM64"/>
    <mergeCell ref="AO64:AR64"/>
    <mergeCell ref="A65:F65"/>
    <mergeCell ref="G65:I65"/>
    <mergeCell ref="J65:L65"/>
    <mergeCell ref="M65:O65"/>
    <mergeCell ref="P65:R65"/>
    <mergeCell ref="S65:U65"/>
    <mergeCell ref="V65:X65"/>
    <mergeCell ref="Y64:AA64"/>
    <mergeCell ref="AB65:AD65"/>
    <mergeCell ref="AE65:AG65"/>
    <mergeCell ref="AH65:AJ65"/>
    <mergeCell ref="W84:Z84"/>
    <mergeCell ref="V80:X80"/>
    <mergeCell ref="AB76:AD76"/>
    <mergeCell ref="AE76:AG76"/>
    <mergeCell ref="AH76:AJ76"/>
    <mergeCell ref="AB77:AD77"/>
    <mergeCell ref="AE77:AG77"/>
    <mergeCell ref="P86:R86"/>
    <mergeCell ref="S86:U86"/>
    <mergeCell ref="V86:X86"/>
    <mergeCell ref="Y86:AA86"/>
    <mergeCell ref="AB86:AD86"/>
    <mergeCell ref="AE86:AG86"/>
    <mergeCell ref="AK65:AM65"/>
    <mergeCell ref="AO65:AR65"/>
    <mergeCell ref="AH86:AJ86"/>
    <mergeCell ref="AK66:AM66"/>
    <mergeCell ref="AO66:AR66"/>
    <mergeCell ref="AB81:AD81"/>
    <mergeCell ref="AE81:AG81"/>
    <mergeCell ref="AH81:AJ81"/>
    <mergeCell ref="A66:F66"/>
    <mergeCell ref="G66:I66"/>
    <mergeCell ref="J66:L66"/>
    <mergeCell ref="M66:O66"/>
    <mergeCell ref="P66:R66"/>
    <mergeCell ref="S66:U66"/>
    <mergeCell ref="V66:X66"/>
    <mergeCell ref="Y66:AA66"/>
    <mergeCell ref="AH66:AJ66"/>
    <mergeCell ref="AB67:AD67"/>
    <mergeCell ref="AE67:AG67"/>
    <mergeCell ref="AH67:AJ67"/>
    <mergeCell ref="AB66:AD66"/>
    <mergeCell ref="AE66:AG66"/>
    <mergeCell ref="A67:F67"/>
    <mergeCell ref="G67:I67"/>
    <mergeCell ref="J67:L67"/>
    <mergeCell ref="M67:O67"/>
    <mergeCell ref="A90:F90"/>
    <mergeCell ref="G90:I90"/>
    <mergeCell ref="J90:L90"/>
    <mergeCell ref="M90:O90"/>
    <mergeCell ref="AK67:AM67"/>
    <mergeCell ref="AO67:AR67"/>
    <mergeCell ref="A68:F68"/>
    <mergeCell ref="G68:I68"/>
    <mergeCell ref="J68:L68"/>
    <mergeCell ref="M68:O68"/>
    <mergeCell ref="P68:R68"/>
    <mergeCell ref="S68:U68"/>
    <mergeCell ref="V68:X68"/>
    <mergeCell ref="P67:R67"/>
    <mergeCell ref="S13:U13"/>
    <mergeCell ref="V13:X13"/>
    <mergeCell ref="G57:I57"/>
    <mergeCell ref="J57:L57"/>
    <mergeCell ref="M57:O57"/>
    <mergeCell ref="P57:R57"/>
    <mergeCell ref="P51:R51"/>
    <mergeCell ref="V51:X51"/>
    <mergeCell ref="P36:R36"/>
    <mergeCell ref="S36:U36"/>
    <mergeCell ref="G13:I13"/>
    <mergeCell ref="J13:L13"/>
    <mergeCell ref="M13:O13"/>
    <mergeCell ref="P13:R13"/>
    <mergeCell ref="W92:Z92"/>
    <mergeCell ref="Y68:AA68"/>
    <mergeCell ref="Y65:AA65"/>
    <mergeCell ref="S80:U80"/>
    <mergeCell ref="Y78:AA78"/>
    <mergeCell ref="S83:U83"/>
    <mergeCell ref="V83:X83"/>
    <mergeCell ref="Y83:AA83"/>
    <mergeCell ref="Y76:AA76"/>
    <mergeCell ref="S85:U85"/>
    <mergeCell ref="AH68:AJ68"/>
    <mergeCell ref="S67:U67"/>
    <mergeCell ref="V67:X67"/>
    <mergeCell ref="Y67:AA67"/>
    <mergeCell ref="AB68:AD68"/>
    <mergeCell ref="AE68:AG68"/>
    <mergeCell ref="AK37:AM37"/>
    <mergeCell ref="Y13:AA13"/>
    <mergeCell ref="A25:F25"/>
    <mergeCell ref="AB25:AD25"/>
    <mergeCell ref="AE25:AG25"/>
    <mergeCell ref="AH25:AJ25"/>
    <mergeCell ref="AB31:AD31"/>
    <mergeCell ref="AB28:AD28"/>
    <mergeCell ref="AE28:AG28"/>
    <mergeCell ref="A13:F13"/>
    <mergeCell ref="AH93:AJ93"/>
    <mergeCell ref="A37:F37"/>
    <mergeCell ref="G37:I37"/>
    <mergeCell ref="J37:L37"/>
    <mergeCell ref="M37:O37"/>
    <mergeCell ref="AE58:AG58"/>
    <mergeCell ref="AH37:AJ37"/>
    <mergeCell ref="AE37:AG37"/>
    <mergeCell ref="AB58:AD58"/>
    <mergeCell ref="AB87:AD87"/>
    <mergeCell ref="AH28:AJ28"/>
    <mergeCell ref="AB29:AD29"/>
    <mergeCell ref="AB13:AD13"/>
    <mergeCell ref="AE13:AG13"/>
    <mergeCell ref="AH13:AJ13"/>
    <mergeCell ref="AE22:AG22"/>
    <mergeCell ref="AB16:AD16"/>
    <mergeCell ref="AE16:AG16"/>
    <mergeCell ref="AH16:AJ16"/>
    <mergeCell ref="AB17:AD17"/>
    <mergeCell ref="AK13:AM13"/>
    <mergeCell ref="AO13:AR13"/>
    <mergeCell ref="G25:I25"/>
    <mergeCell ref="J25:L25"/>
    <mergeCell ref="M25:O25"/>
    <mergeCell ref="P25:R25"/>
    <mergeCell ref="S25:U25"/>
    <mergeCell ref="V25:X25"/>
    <mergeCell ref="Y25:AA25"/>
    <mergeCell ref="AK25:AM25"/>
    <mergeCell ref="AO25:AR25"/>
    <mergeCell ref="AO37:AR37"/>
    <mergeCell ref="A58:F58"/>
    <mergeCell ref="G58:I58"/>
    <mergeCell ref="J58:L58"/>
    <mergeCell ref="M58:O58"/>
    <mergeCell ref="P58:R58"/>
    <mergeCell ref="S58:U58"/>
    <mergeCell ref="V58:X58"/>
    <mergeCell ref="Y58:AA58"/>
    <mergeCell ref="AK58:AM58"/>
    <mergeCell ref="AO58:AR58"/>
    <mergeCell ref="A59:F59"/>
    <mergeCell ref="G59:I59"/>
    <mergeCell ref="J59:L59"/>
    <mergeCell ref="M59:O59"/>
    <mergeCell ref="P59:R59"/>
    <mergeCell ref="S59:U59"/>
    <mergeCell ref="V59:X59"/>
    <mergeCell ref="Y59:AA59"/>
    <mergeCell ref="AO59:AR59"/>
    <mergeCell ref="P99:R99"/>
    <mergeCell ref="S99:U99"/>
    <mergeCell ref="V99:X99"/>
    <mergeCell ref="AB59:AD59"/>
    <mergeCell ref="AK93:AM93"/>
    <mergeCell ref="AK68:AM68"/>
    <mergeCell ref="AO68:AR68"/>
    <mergeCell ref="P90:R90"/>
    <mergeCell ref="AE93:AG93"/>
    <mergeCell ref="AK57:AM57"/>
    <mergeCell ref="AO57:AR57"/>
    <mergeCell ref="W103:Z103"/>
    <mergeCell ref="AB100:AD100"/>
    <mergeCell ref="Y57:AA57"/>
    <mergeCell ref="AB57:AD57"/>
    <mergeCell ref="AE57:AG57"/>
    <mergeCell ref="AE59:AG59"/>
    <mergeCell ref="AH59:AJ59"/>
    <mergeCell ref="AK59:AM59"/>
    <mergeCell ref="AE105:AG105"/>
    <mergeCell ref="AH105:AJ105"/>
    <mergeCell ref="AK105:AM105"/>
    <mergeCell ref="AE106:AG106"/>
    <mergeCell ref="AH106:AJ106"/>
    <mergeCell ref="AK106:AM106"/>
    <mergeCell ref="AB106:AD106"/>
    <mergeCell ref="Y107:AA107"/>
    <mergeCell ref="AB107:AD107"/>
    <mergeCell ref="AE113:AG113"/>
    <mergeCell ref="AB108:AD108"/>
    <mergeCell ref="AE108:AG108"/>
    <mergeCell ref="AB109:AD109"/>
    <mergeCell ref="AE109:AG109"/>
    <mergeCell ref="AB110:AD110"/>
    <mergeCell ref="AE110:AG110"/>
    <mergeCell ref="AB115:AD115"/>
    <mergeCell ref="AE115:AG115"/>
    <mergeCell ref="AH115:AJ115"/>
    <mergeCell ref="AK119:AM119"/>
    <mergeCell ref="AB116:AD116"/>
    <mergeCell ref="AE116:AG116"/>
    <mergeCell ref="AH116:AJ116"/>
    <mergeCell ref="AK116:AM116"/>
    <mergeCell ref="AB117:AD117"/>
    <mergeCell ref="AE117:AG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83"/>
  <sheetViews>
    <sheetView workbookViewId="0" topLeftCell="A1">
      <selection activeCell="AM3" sqref="AM3:AN10"/>
    </sheetView>
  </sheetViews>
  <sheetFormatPr defaultColWidth="9.00390625" defaultRowHeight="12.75"/>
  <cols>
    <col min="1" max="16384" width="3.25390625" style="0" customWidth="1"/>
  </cols>
  <sheetData>
    <row r="1" spans="1:54" ht="12.75">
      <c r="A1" s="505" t="s">
        <v>169</v>
      </c>
      <c r="B1" s="506"/>
      <c r="C1" s="506"/>
      <c r="D1" s="506"/>
      <c r="E1" s="506"/>
      <c r="F1" s="506"/>
      <c r="G1" s="506"/>
      <c r="H1" s="506"/>
      <c r="I1" s="506"/>
      <c r="J1" s="506"/>
      <c r="K1" s="507"/>
      <c r="L1" s="390" t="s">
        <v>118</v>
      </c>
      <c r="M1" s="325"/>
      <c r="N1" s="325"/>
      <c r="O1" s="325"/>
      <c r="P1" s="325"/>
      <c r="Q1" s="325"/>
      <c r="R1" s="325"/>
      <c r="S1" s="391"/>
      <c r="T1" s="390" t="s">
        <v>119</v>
      </c>
      <c r="U1" s="325"/>
      <c r="V1" s="325"/>
      <c r="W1" s="325"/>
      <c r="X1" s="325"/>
      <c r="Y1" s="325"/>
      <c r="Z1" s="325"/>
      <c r="AA1" s="391"/>
      <c r="AB1" s="461" t="s">
        <v>193</v>
      </c>
      <c r="AC1" s="462"/>
      <c r="AD1" s="462"/>
      <c r="AE1" s="462"/>
      <c r="AF1" s="462"/>
      <c r="AG1" s="462"/>
      <c r="AH1" s="462"/>
      <c r="AI1" s="462"/>
      <c r="AJ1" s="462"/>
      <c r="AK1" s="462"/>
      <c r="AL1" s="463"/>
      <c r="AM1" s="390" t="s">
        <v>118</v>
      </c>
      <c r="AN1" s="325"/>
      <c r="AO1" s="325"/>
      <c r="AP1" s="325"/>
      <c r="AQ1" s="325"/>
      <c r="AR1" s="325"/>
      <c r="AS1" s="325"/>
      <c r="AT1" s="391"/>
      <c r="AU1" s="390" t="s">
        <v>119</v>
      </c>
      <c r="AV1" s="325"/>
      <c r="AW1" s="325"/>
      <c r="AX1" s="325"/>
      <c r="AY1" s="325"/>
      <c r="AZ1" s="325"/>
      <c r="BA1" s="325"/>
      <c r="BB1" s="391"/>
    </row>
    <row r="2" spans="1:54" ht="13.5" thickBot="1">
      <c r="A2" s="392" t="s">
        <v>156</v>
      </c>
      <c r="B2" s="393"/>
      <c r="C2" s="393"/>
      <c r="D2" s="393"/>
      <c r="E2" s="393"/>
      <c r="F2" s="393"/>
      <c r="G2" s="393"/>
      <c r="H2" s="393"/>
      <c r="I2" s="393"/>
      <c r="J2" s="393" t="s">
        <v>33</v>
      </c>
      <c r="K2" s="394"/>
      <c r="L2" s="392" t="s">
        <v>117</v>
      </c>
      <c r="M2" s="393"/>
      <c r="N2" s="393" t="s">
        <v>113</v>
      </c>
      <c r="O2" s="393"/>
      <c r="P2" s="393" t="s">
        <v>114</v>
      </c>
      <c r="Q2" s="393"/>
      <c r="R2" s="393" t="s">
        <v>115</v>
      </c>
      <c r="S2" s="394"/>
      <c r="T2" s="392" t="s">
        <v>117</v>
      </c>
      <c r="U2" s="393"/>
      <c r="V2" s="393" t="s">
        <v>113</v>
      </c>
      <c r="W2" s="393"/>
      <c r="X2" s="393" t="s">
        <v>114</v>
      </c>
      <c r="Y2" s="393"/>
      <c r="Z2" s="393" t="s">
        <v>115</v>
      </c>
      <c r="AA2" s="394"/>
      <c r="AB2" s="392" t="s">
        <v>156</v>
      </c>
      <c r="AC2" s="393"/>
      <c r="AD2" s="393"/>
      <c r="AE2" s="393"/>
      <c r="AF2" s="393"/>
      <c r="AG2" s="393"/>
      <c r="AH2" s="393"/>
      <c r="AI2" s="393"/>
      <c r="AJ2" s="393"/>
      <c r="AK2" s="393" t="s">
        <v>33</v>
      </c>
      <c r="AL2" s="394"/>
      <c r="AM2" s="392" t="s">
        <v>117</v>
      </c>
      <c r="AN2" s="393"/>
      <c r="AO2" s="393" t="s">
        <v>113</v>
      </c>
      <c r="AP2" s="393"/>
      <c r="AQ2" s="393" t="s">
        <v>114</v>
      </c>
      <c r="AR2" s="393"/>
      <c r="AS2" s="393" t="s">
        <v>115</v>
      </c>
      <c r="AT2" s="394"/>
      <c r="AU2" s="392" t="s">
        <v>117</v>
      </c>
      <c r="AV2" s="393"/>
      <c r="AW2" s="393" t="s">
        <v>113</v>
      </c>
      <c r="AX2" s="393"/>
      <c r="AY2" s="393" t="s">
        <v>114</v>
      </c>
      <c r="AZ2" s="393"/>
      <c r="BA2" s="393" t="s">
        <v>115</v>
      </c>
      <c r="BB2" s="394"/>
    </row>
    <row r="3" spans="1:54" ht="12.75">
      <c r="A3" s="430" t="s">
        <v>81</v>
      </c>
      <c r="B3" s="431"/>
      <c r="C3" s="431"/>
      <c r="D3" s="431"/>
      <c r="E3" s="431"/>
      <c r="F3" s="431"/>
      <c r="G3" s="431"/>
      <c r="H3" s="431"/>
      <c r="I3" s="431"/>
      <c r="J3" s="508">
        <f>SUM(L3:S3)</f>
        <v>0.05</v>
      </c>
      <c r="K3" s="430"/>
      <c r="L3" s="509">
        <v>0.05</v>
      </c>
      <c r="M3" s="510"/>
      <c r="N3" s="357"/>
      <c r="O3" s="357"/>
      <c r="P3" s="357"/>
      <c r="Q3" s="357"/>
      <c r="R3" s="357"/>
      <c r="S3" s="359"/>
      <c r="T3" s="498"/>
      <c r="U3" s="499"/>
      <c r="V3" s="388"/>
      <c r="W3" s="388"/>
      <c r="X3" s="388"/>
      <c r="Y3" s="388"/>
      <c r="Z3" s="388"/>
      <c r="AA3" s="389"/>
      <c r="AB3" s="430" t="s">
        <v>290</v>
      </c>
      <c r="AC3" s="431"/>
      <c r="AD3" s="431"/>
      <c r="AE3" s="431"/>
      <c r="AF3" s="431"/>
      <c r="AG3" s="431"/>
      <c r="AH3" s="431"/>
      <c r="AI3" s="431"/>
      <c r="AJ3" s="431"/>
      <c r="AK3" s="508">
        <f>SUM(AM3:AT3)</f>
        <v>0.1</v>
      </c>
      <c r="AL3" s="430"/>
      <c r="AM3" s="568">
        <v>0.1</v>
      </c>
      <c r="AN3" s="569"/>
      <c r="AO3" s="357"/>
      <c r="AP3" s="357"/>
      <c r="AQ3" s="357"/>
      <c r="AR3" s="357"/>
      <c r="AS3" s="357"/>
      <c r="AT3" s="359"/>
      <c r="AU3" s="568">
        <v>0.1</v>
      </c>
      <c r="AV3" s="569"/>
      <c r="AW3" s="388"/>
      <c r="AX3" s="388"/>
      <c r="AY3" s="388"/>
      <c r="AZ3" s="388"/>
      <c r="BA3" s="388"/>
      <c r="BB3" s="389"/>
    </row>
    <row r="4" spans="1:54" ht="12.75">
      <c r="A4" s="419" t="s">
        <v>82</v>
      </c>
      <c r="B4" s="420"/>
      <c r="C4" s="420"/>
      <c r="D4" s="420"/>
      <c r="E4" s="420"/>
      <c r="F4" s="420"/>
      <c r="G4" s="420"/>
      <c r="H4" s="420"/>
      <c r="I4" s="420"/>
      <c r="J4" s="485">
        <f aca="true" t="shared" si="0" ref="J4:J26">SUM(L4:S4)</f>
        <v>0.05</v>
      </c>
      <c r="K4" s="419"/>
      <c r="L4" s="511">
        <v>0.05</v>
      </c>
      <c r="M4" s="512"/>
      <c r="N4" s="365"/>
      <c r="O4" s="365"/>
      <c r="P4" s="365"/>
      <c r="Q4" s="365"/>
      <c r="R4" s="365"/>
      <c r="S4" s="367"/>
      <c r="T4" s="427"/>
      <c r="U4" s="366"/>
      <c r="V4" s="365"/>
      <c r="W4" s="365"/>
      <c r="X4" s="365"/>
      <c r="Y4" s="365"/>
      <c r="Z4" s="365"/>
      <c r="AA4" s="367"/>
      <c r="AB4" s="419" t="s">
        <v>291</v>
      </c>
      <c r="AC4" s="420"/>
      <c r="AD4" s="420"/>
      <c r="AE4" s="420"/>
      <c r="AF4" s="420"/>
      <c r="AG4" s="420"/>
      <c r="AH4" s="420"/>
      <c r="AI4" s="420"/>
      <c r="AJ4" s="420"/>
      <c r="AK4" s="485">
        <f aca="true" t="shared" si="1" ref="AK4:AK39">SUM(AM4:AT4)</f>
        <v>0.15</v>
      </c>
      <c r="AL4" s="419"/>
      <c r="AM4" s="384">
        <v>0.15</v>
      </c>
      <c r="AN4" s="385"/>
      <c r="AO4" s="365"/>
      <c r="AP4" s="365"/>
      <c r="AQ4" s="365"/>
      <c r="AR4" s="365"/>
      <c r="AS4" s="365"/>
      <c r="AT4" s="367"/>
      <c r="AU4" s="384">
        <v>0.15</v>
      </c>
      <c r="AV4" s="385"/>
      <c r="AW4" s="365"/>
      <c r="AX4" s="365"/>
      <c r="AY4" s="365"/>
      <c r="AZ4" s="365"/>
      <c r="BA4" s="365"/>
      <c r="BB4" s="367"/>
    </row>
    <row r="5" spans="1:54" ht="12.75">
      <c r="A5" s="419" t="s">
        <v>91</v>
      </c>
      <c r="B5" s="420"/>
      <c r="C5" s="420"/>
      <c r="D5" s="420"/>
      <c r="E5" s="420"/>
      <c r="F5" s="420"/>
      <c r="G5" s="420"/>
      <c r="H5" s="420"/>
      <c r="I5" s="420"/>
      <c r="J5" s="485">
        <f t="shared" si="0"/>
        <v>0.05</v>
      </c>
      <c r="K5" s="419"/>
      <c r="L5" s="427">
        <v>0.05</v>
      </c>
      <c r="M5" s="366"/>
      <c r="N5" s="365"/>
      <c r="O5" s="365"/>
      <c r="P5" s="365"/>
      <c r="Q5" s="365"/>
      <c r="R5" s="365"/>
      <c r="S5" s="367"/>
      <c r="T5" s="427"/>
      <c r="U5" s="366"/>
      <c r="V5" s="365"/>
      <c r="W5" s="365"/>
      <c r="X5" s="365"/>
      <c r="Y5" s="365"/>
      <c r="Z5" s="365"/>
      <c r="AA5" s="367"/>
      <c r="AB5" s="419" t="s">
        <v>292</v>
      </c>
      <c r="AC5" s="420"/>
      <c r="AD5" s="420"/>
      <c r="AE5" s="420"/>
      <c r="AF5" s="420"/>
      <c r="AG5" s="420"/>
      <c r="AH5" s="420"/>
      <c r="AI5" s="420"/>
      <c r="AJ5" s="420"/>
      <c r="AK5" s="485">
        <f t="shared" si="1"/>
        <v>0.2</v>
      </c>
      <c r="AL5" s="419"/>
      <c r="AM5" s="384">
        <v>0.2</v>
      </c>
      <c r="AN5" s="385"/>
      <c r="AO5" s="365"/>
      <c r="AP5" s="365"/>
      <c r="AQ5" s="365"/>
      <c r="AR5" s="365"/>
      <c r="AS5" s="365"/>
      <c r="AT5" s="367"/>
      <c r="AU5" s="384">
        <v>0.2</v>
      </c>
      <c r="AV5" s="385"/>
      <c r="AW5" s="365"/>
      <c r="AX5" s="365"/>
      <c r="AY5" s="365"/>
      <c r="AZ5" s="365"/>
      <c r="BA5" s="365"/>
      <c r="BB5" s="367"/>
    </row>
    <row r="6" spans="1:54" ht="12.75">
      <c r="A6" s="419" t="s">
        <v>83</v>
      </c>
      <c r="B6" s="420"/>
      <c r="C6" s="420"/>
      <c r="D6" s="420"/>
      <c r="E6" s="420"/>
      <c r="F6" s="420"/>
      <c r="G6" s="420"/>
      <c r="H6" s="420"/>
      <c r="I6" s="420"/>
      <c r="J6" s="485">
        <f t="shared" si="0"/>
        <v>0.05</v>
      </c>
      <c r="K6" s="419"/>
      <c r="L6" s="427">
        <v>0.05</v>
      </c>
      <c r="M6" s="366"/>
      <c r="N6" s="365"/>
      <c r="O6" s="365"/>
      <c r="P6" s="365"/>
      <c r="Q6" s="365"/>
      <c r="R6" s="365"/>
      <c r="S6" s="367"/>
      <c r="T6" s="427"/>
      <c r="U6" s="366"/>
      <c r="V6" s="365"/>
      <c r="W6" s="365"/>
      <c r="X6" s="365"/>
      <c r="Y6" s="365"/>
      <c r="Z6" s="365"/>
      <c r="AA6" s="367"/>
      <c r="AB6" s="419" t="s">
        <v>85</v>
      </c>
      <c r="AC6" s="420"/>
      <c r="AD6" s="420"/>
      <c r="AE6" s="420"/>
      <c r="AF6" s="420"/>
      <c r="AG6" s="420"/>
      <c r="AH6" s="420"/>
      <c r="AI6" s="420"/>
      <c r="AJ6" s="420"/>
      <c r="AK6" s="485">
        <f t="shared" si="1"/>
        <v>0.25</v>
      </c>
      <c r="AL6" s="419"/>
      <c r="AM6" s="384">
        <v>0.25</v>
      </c>
      <c r="AN6" s="385"/>
      <c r="AO6" s="365"/>
      <c r="AP6" s="365"/>
      <c r="AQ6" s="365"/>
      <c r="AR6" s="365"/>
      <c r="AS6" s="365"/>
      <c r="AT6" s="367"/>
      <c r="AU6" s="384">
        <v>0.25</v>
      </c>
      <c r="AV6" s="385"/>
      <c r="AW6" s="365"/>
      <c r="AX6" s="365"/>
      <c r="AY6" s="365"/>
      <c r="AZ6" s="365"/>
      <c r="BA6" s="365"/>
      <c r="BB6" s="367"/>
    </row>
    <row r="7" spans="1:54" ht="12.75">
      <c r="A7" s="419" t="s">
        <v>92</v>
      </c>
      <c r="B7" s="420"/>
      <c r="C7" s="420"/>
      <c r="D7" s="420"/>
      <c r="E7" s="420"/>
      <c r="F7" s="420"/>
      <c r="G7" s="420"/>
      <c r="H7" s="420"/>
      <c r="I7" s="420"/>
      <c r="J7" s="485">
        <f t="shared" si="0"/>
        <v>0</v>
      </c>
      <c r="K7" s="419"/>
      <c r="L7" s="427">
        <v>0</v>
      </c>
      <c r="M7" s="366"/>
      <c r="N7" s="365"/>
      <c r="O7" s="365"/>
      <c r="P7" s="365"/>
      <c r="Q7" s="365"/>
      <c r="R7" s="365"/>
      <c r="S7" s="367"/>
      <c r="T7" s="427"/>
      <c r="U7" s="366"/>
      <c r="V7" s="365"/>
      <c r="W7" s="365"/>
      <c r="X7" s="365"/>
      <c r="Y7" s="365"/>
      <c r="Z7" s="365"/>
      <c r="AA7" s="367"/>
      <c r="AB7" s="419" t="s">
        <v>293</v>
      </c>
      <c r="AC7" s="420"/>
      <c r="AD7" s="420"/>
      <c r="AE7" s="420"/>
      <c r="AF7" s="420"/>
      <c r="AG7" s="420"/>
      <c r="AH7" s="420"/>
      <c r="AI7" s="420"/>
      <c r="AJ7" s="420"/>
      <c r="AK7" s="485">
        <f t="shared" si="1"/>
        <v>0.025</v>
      </c>
      <c r="AL7" s="419"/>
      <c r="AM7" s="384">
        <v>0.025</v>
      </c>
      <c r="AN7" s="385"/>
      <c r="AO7" s="365"/>
      <c r="AP7" s="365"/>
      <c r="AQ7" s="365"/>
      <c r="AR7" s="365"/>
      <c r="AS7" s="365"/>
      <c r="AT7" s="367"/>
      <c r="AU7" s="384">
        <v>0.025</v>
      </c>
      <c r="AV7" s="385"/>
      <c r="AW7" s="365"/>
      <c r="AX7" s="365"/>
      <c r="AY7" s="365"/>
      <c r="AZ7" s="365"/>
      <c r="BA7" s="365"/>
      <c r="BB7" s="367"/>
    </row>
    <row r="8" spans="1:54" ht="12.75">
      <c r="A8" s="419" t="s">
        <v>84</v>
      </c>
      <c r="B8" s="420"/>
      <c r="C8" s="420"/>
      <c r="D8" s="420"/>
      <c r="E8" s="420"/>
      <c r="F8" s="420"/>
      <c r="G8" s="420"/>
      <c r="H8" s="420"/>
      <c r="I8" s="420"/>
      <c r="J8" s="485">
        <f t="shared" si="0"/>
        <v>0.1</v>
      </c>
      <c r="K8" s="419"/>
      <c r="L8" s="427">
        <v>0.1</v>
      </c>
      <c r="M8" s="366"/>
      <c r="N8" s="365"/>
      <c r="O8" s="365"/>
      <c r="P8" s="365"/>
      <c r="Q8" s="365"/>
      <c r="R8" s="365"/>
      <c r="S8" s="367"/>
      <c r="T8" s="427"/>
      <c r="U8" s="366"/>
      <c r="V8" s="365"/>
      <c r="W8" s="365"/>
      <c r="X8" s="365"/>
      <c r="Y8" s="365"/>
      <c r="Z8" s="365"/>
      <c r="AA8" s="367"/>
      <c r="AB8" s="419" t="s">
        <v>294</v>
      </c>
      <c r="AC8" s="420"/>
      <c r="AD8" s="420"/>
      <c r="AE8" s="420"/>
      <c r="AF8" s="420"/>
      <c r="AG8" s="420"/>
      <c r="AH8" s="420"/>
      <c r="AI8" s="420"/>
      <c r="AJ8" s="420"/>
      <c r="AK8" s="485">
        <f t="shared" si="1"/>
        <v>0</v>
      </c>
      <c r="AL8" s="419"/>
      <c r="AM8" s="384"/>
      <c r="AN8" s="385"/>
      <c r="AO8" s="365"/>
      <c r="AP8" s="365"/>
      <c r="AQ8" s="365"/>
      <c r="AR8" s="365"/>
      <c r="AS8" s="365"/>
      <c r="AT8" s="367"/>
      <c r="AU8" s="384"/>
      <c r="AV8" s="385"/>
      <c r="AW8" s="365"/>
      <c r="AX8" s="365"/>
      <c r="AY8" s="365"/>
      <c r="AZ8" s="365"/>
      <c r="BA8" s="365"/>
      <c r="BB8" s="367"/>
    </row>
    <row r="9" spans="1:54" ht="12.75">
      <c r="A9" s="419" t="s">
        <v>86</v>
      </c>
      <c r="B9" s="420"/>
      <c r="C9" s="420"/>
      <c r="D9" s="420"/>
      <c r="E9" s="420"/>
      <c r="F9" s="420"/>
      <c r="G9" s="420"/>
      <c r="H9" s="420"/>
      <c r="I9" s="420"/>
      <c r="J9" s="485">
        <f t="shared" si="0"/>
        <v>0.05</v>
      </c>
      <c r="K9" s="419"/>
      <c r="L9" s="513">
        <v>0.05</v>
      </c>
      <c r="M9" s="514"/>
      <c r="N9" s="365"/>
      <c r="O9" s="365"/>
      <c r="P9" s="365"/>
      <c r="Q9" s="365"/>
      <c r="R9" s="365"/>
      <c r="S9" s="367"/>
      <c r="T9" s="427"/>
      <c r="U9" s="366"/>
      <c r="V9" s="365"/>
      <c r="W9" s="365"/>
      <c r="X9" s="365"/>
      <c r="Y9" s="365"/>
      <c r="Z9" s="365"/>
      <c r="AA9" s="367"/>
      <c r="AB9" s="419" t="s">
        <v>297</v>
      </c>
      <c r="AC9" s="420"/>
      <c r="AD9" s="420"/>
      <c r="AE9" s="420"/>
      <c r="AF9" s="420"/>
      <c r="AG9" s="420"/>
      <c r="AH9" s="420"/>
      <c r="AI9" s="420"/>
      <c r="AJ9" s="420"/>
      <c r="AK9" s="485">
        <f t="shared" si="1"/>
        <v>0.125</v>
      </c>
      <c r="AL9" s="419"/>
      <c r="AM9" s="384">
        <v>0.125</v>
      </c>
      <c r="AN9" s="385"/>
      <c r="AO9" s="365"/>
      <c r="AP9" s="365"/>
      <c r="AQ9" s="365"/>
      <c r="AR9" s="365"/>
      <c r="AS9" s="365"/>
      <c r="AT9" s="367"/>
      <c r="AU9" s="384">
        <v>0.125</v>
      </c>
      <c r="AV9" s="385"/>
      <c r="AW9" s="365"/>
      <c r="AX9" s="365"/>
      <c r="AY9" s="365"/>
      <c r="AZ9" s="365"/>
      <c r="BA9" s="365"/>
      <c r="BB9" s="367"/>
    </row>
    <row r="10" spans="1:54" ht="12.75">
      <c r="A10" s="419" t="s">
        <v>85</v>
      </c>
      <c r="B10" s="420"/>
      <c r="C10" s="420"/>
      <c r="D10" s="420"/>
      <c r="E10" s="420"/>
      <c r="F10" s="420"/>
      <c r="G10" s="420"/>
      <c r="H10" s="420"/>
      <c r="I10" s="420"/>
      <c r="J10" s="485">
        <f t="shared" si="0"/>
        <v>0.15</v>
      </c>
      <c r="K10" s="419"/>
      <c r="L10" s="427">
        <v>0.15</v>
      </c>
      <c r="M10" s="366"/>
      <c r="N10" s="365"/>
      <c r="O10" s="365"/>
      <c r="P10" s="365"/>
      <c r="Q10" s="365"/>
      <c r="R10" s="365"/>
      <c r="S10" s="367"/>
      <c r="T10" s="427"/>
      <c r="U10" s="366"/>
      <c r="V10" s="365"/>
      <c r="W10" s="365"/>
      <c r="X10" s="365"/>
      <c r="Y10" s="365"/>
      <c r="Z10" s="365"/>
      <c r="AA10" s="367"/>
      <c r="AB10" s="419" t="s">
        <v>88</v>
      </c>
      <c r="AC10" s="420"/>
      <c r="AD10" s="420"/>
      <c r="AE10" s="420"/>
      <c r="AF10" s="420"/>
      <c r="AG10" s="420"/>
      <c r="AH10" s="420"/>
      <c r="AI10" s="420"/>
      <c r="AJ10" s="420"/>
      <c r="AK10" s="485">
        <f t="shared" si="1"/>
        <v>0.15</v>
      </c>
      <c r="AL10" s="419"/>
      <c r="AM10" s="384">
        <v>0.15</v>
      </c>
      <c r="AN10" s="385"/>
      <c r="AO10" s="365"/>
      <c r="AP10" s="365"/>
      <c r="AQ10" s="365"/>
      <c r="AR10" s="365"/>
      <c r="AS10" s="365"/>
      <c r="AT10" s="367"/>
      <c r="AU10" s="384">
        <v>0.15</v>
      </c>
      <c r="AV10" s="385"/>
      <c r="AW10" s="365"/>
      <c r="AX10" s="365"/>
      <c r="AY10" s="365"/>
      <c r="AZ10" s="365"/>
      <c r="BA10" s="365"/>
      <c r="BB10" s="367"/>
    </row>
    <row r="11" spans="1:54" ht="12.75">
      <c r="A11" s="419" t="s">
        <v>87</v>
      </c>
      <c r="B11" s="420"/>
      <c r="C11" s="420"/>
      <c r="D11" s="420"/>
      <c r="E11" s="420"/>
      <c r="F11" s="420"/>
      <c r="G11" s="420"/>
      <c r="H11" s="420"/>
      <c r="I11" s="420"/>
      <c r="J11" s="485">
        <f t="shared" si="0"/>
        <v>0.05</v>
      </c>
      <c r="K11" s="419"/>
      <c r="L11" s="427">
        <v>0.05</v>
      </c>
      <c r="M11" s="366"/>
      <c r="N11" s="365"/>
      <c r="O11" s="365"/>
      <c r="P11" s="365"/>
      <c r="Q11" s="365"/>
      <c r="R11" s="365"/>
      <c r="S11" s="367"/>
      <c r="T11" s="427"/>
      <c r="U11" s="366"/>
      <c r="V11" s="365"/>
      <c r="W11" s="365"/>
      <c r="X11" s="365"/>
      <c r="Y11" s="365"/>
      <c r="Z11" s="365"/>
      <c r="AA11" s="367"/>
      <c r="AB11" s="419" t="s">
        <v>89</v>
      </c>
      <c r="AC11" s="420"/>
      <c r="AD11" s="420"/>
      <c r="AE11" s="420"/>
      <c r="AF11" s="420"/>
      <c r="AG11" s="420"/>
      <c r="AH11" s="420"/>
      <c r="AI11" s="420"/>
      <c r="AJ11" s="420"/>
      <c r="AK11" s="485">
        <f t="shared" si="1"/>
        <v>0</v>
      </c>
      <c r="AL11" s="419"/>
      <c r="AM11" s="384"/>
      <c r="AN11" s="385"/>
      <c r="AO11" s="365"/>
      <c r="AP11" s="365"/>
      <c r="AQ11" s="365"/>
      <c r="AR11" s="365"/>
      <c r="AS11" s="365"/>
      <c r="AT11" s="367"/>
      <c r="AU11" s="427"/>
      <c r="AV11" s="366"/>
      <c r="AW11" s="365"/>
      <c r="AX11" s="365"/>
      <c r="AY11" s="365"/>
      <c r="AZ11" s="365"/>
      <c r="BA11" s="365"/>
      <c r="BB11" s="367"/>
    </row>
    <row r="12" spans="1:54" ht="12.75">
      <c r="A12" s="419" t="s">
        <v>93</v>
      </c>
      <c r="B12" s="420"/>
      <c r="C12" s="420"/>
      <c r="D12" s="420"/>
      <c r="E12" s="420"/>
      <c r="F12" s="420"/>
      <c r="G12" s="420"/>
      <c r="H12" s="420"/>
      <c r="I12" s="420"/>
      <c r="J12" s="485">
        <f t="shared" si="0"/>
        <v>0.05</v>
      </c>
      <c r="K12" s="419"/>
      <c r="L12" s="426"/>
      <c r="M12" s="365"/>
      <c r="N12" s="329">
        <v>0.05</v>
      </c>
      <c r="O12" s="329"/>
      <c r="P12" s="365"/>
      <c r="Q12" s="365"/>
      <c r="R12" s="365"/>
      <c r="S12" s="367"/>
      <c r="T12" s="515">
        <v>0.05</v>
      </c>
      <c r="U12" s="370"/>
      <c r="V12" s="366"/>
      <c r="W12" s="366"/>
      <c r="X12" s="365"/>
      <c r="Y12" s="365"/>
      <c r="Z12" s="365"/>
      <c r="AA12" s="367"/>
      <c r="AB12" s="419" t="s">
        <v>295</v>
      </c>
      <c r="AC12" s="420"/>
      <c r="AD12" s="420"/>
      <c r="AE12" s="420"/>
      <c r="AF12" s="420"/>
      <c r="AG12" s="420"/>
      <c r="AH12" s="420"/>
      <c r="AI12" s="420"/>
      <c r="AJ12" s="420"/>
      <c r="AK12" s="485">
        <f t="shared" si="1"/>
        <v>0.05</v>
      </c>
      <c r="AL12" s="419"/>
      <c r="AM12" s="539"/>
      <c r="AN12" s="238"/>
      <c r="AO12" s="329">
        <v>0.05</v>
      </c>
      <c r="AP12" s="329"/>
      <c r="AQ12" s="365"/>
      <c r="AR12" s="365"/>
      <c r="AS12" s="365"/>
      <c r="AT12" s="367"/>
      <c r="AU12" s="515">
        <v>0.05</v>
      </c>
      <c r="AV12" s="370"/>
      <c r="AW12" s="366"/>
      <c r="AX12" s="366"/>
      <c r="AY12" s="365"/>
      <c r="AZ12" s="365"/>
      <c r="BA12" s="365"/>
      <c r="BB12" s="367"/>
    </row>
    <row r="13" spans="1:54" ht="12.75">
      <c r="A13" s="419" t="s">
        <v>99</v>
      </c>
      <c r="B13" s="420"/>
      <c r="C13" s="420"/>
      <c r="D13" s="420"/>
      <c r="E13" s="420"/>
      <c r="F13" s="420"/>
      <c r="G13" s="420"/>
      <c r="H13" s="420"/>
      <c r="I13" s="420"/>
      <c r="J13" s="485">
        <f t="shared" si="0"/>
        <v>0.05</v>
      </c>
      <c r="K13" s="419"/>
      <c r="L13" s="513">
        <v>0.05</v>
      </c>
      <c r="M13" s="514"/>
      <c r="N13" s="238"/>
      <c r="O13" s="238"/>
      <c r="P13" s="238"/>
      <c r="Q13" s="238"/>
      <c r="R13" s="238"/>
      <c r="S13" s="516"/>
      <c r="T13" s="384"/>
      <c r="U13" s="385"/>
      <c r="V13" s="238"/>
      <c r="W13" s="238"/>
      <c r="X13" s="238"/>
      <c r="Y13" s="238"/>
      <c r="Z13" s="238"/>
      <c r="AA13" s="516"/>
      <c r="AB13" s="419" t="s">
        <v>296</v>
      </c>
      <c r="AC13" s="420"/>
      <c r="AD13" s="420"/>
      <c r="AE13" s="420"/>
      <c r="AF13" s="420"/>
      <c r="AG13" s="420"/>
      <c r="AH13" s="420"/>
      <c r="AI13" s="420"/>
      <c r="AJ13" s="420"/>
      <c r="AK13" s="485">
        <f t="shared" si="1"/>
        <v>0</v>
      </c>
      <c r="AL13" s="419"/>
      <c r="AM13" s="384"/>
      <c r="AN13" s="385"/>
      <c r="AO13" s="238"/>
      <c r="AP13" s="238"/>
      <c r="AQ13" s="238"/>
      <c r="AR13" s="238"/>
      <c r="AS13" s="238"/>
      <c r="AT13" s="516"/>
      <c r="AU13" s="384"/>
      <c r="AV13" s="385"/>
      <c r="AW13" s="238"/>
      <c r="AX13" s="238"/>
      <c r="AY13" s="238"/>
      <c r="AZ13" s="238"/>
      <c r="BA13" s="238"/>
      <c r="BB13" s="516"/>
    </row>
    <row r="14" spans="1:54" ht="12.75">
      <c r="A14" s="419" t="s">
        <v>100</v>
      </c>
      <c r="B14" s="420"/>
      <c r="C14" s="420"/>
      <c r="D14" s="420"/>
      <c r="E14" s="420"/>
      <c r="F14" s="420"/>
      <c r="G14" s="420"/>
      <c r="H14" s="420"/>
      <c r="I14" s="420"/>
      <c r="J14" s="485">
        <f t="shared" si="0"/>
        <v>0.05</v>
      </c>
      <c r="K14" s="419"/>
      <c r="L14" s="427">
        <v>0.05</v>
      </c>
      <c r="M14" s="366"/>
      <c r="N14" s="365"/>
      <c r="O14" s="365"/>
      <c r="P14" s="365"/>
      <c r="Q14" s="365"/>
      <c r="R14" s="365"/>
      <c r="S14" s="367"/>
      <c r="T14" s="427"/>
      <c r="U14" s="366"/>
      <c r="V14" s="365"/>
      <c r="W14" s="365"/>
      <c r="X14" s="365"/>
      <c r="Y14" s="365"/>
      <c r="Z14" s="365"/>
      <c r="AA14" s="367"/>
      <c r="AB14" s="419" t="s">
        <v>298</v>
      </c>
      <c r="AC14" s="420"/>
      <c r="AD14" s="420"/>
      <c r="AE14" s="420"/>
      <c r="AF14" s="420"/>
      <c r="AG14" s="420"/>
      <c r="AH14" s="420"/>
      <c r="AI14" s="420"/>
      <c r="AJ14" s="420"/>
      <c r="AK14" s="485">
        <f t="shared" si="1"/>
        <v>0</v>
      </c>
      <c r="AL14" s="419"/>
      <c r="AM14" s="384"/>
      <c r="AN14" s="385"/>
      <c r="AO14" s="365"/>
      <c r="AP14" s="365"/>
      <c r="AQ14" s="365"/>
      <c r="AR14" s="365"/>
      <c r="AS14" s="365"/>
      <c r="AT14" s="367"/>
      <c r="AU14" s="427"/>
      <c r="AV14" s="366"/>
      <c r="AW14" s="365"/>
      <c r="AX14" s="365"/>
      <c r="AY14" s="365"/>
      <c r="AZ14" s="365"/>
      <c r="BA14" s="365"/>
      <c r="BB14" s="367"/>
    </row>
    <row r="15" spans="1:54" ht="12.75">
      <c r="A15" s="419" t="s">
        <v>116</v>
      </c>
      <c r="B15" s="420"/>
      <c r="C15" s="420"/>
      <c r="D15" s="420"/>
      <c r="E15" s="420"/>
      <c r="F15" s="420"/>
      <c r="G15" s="420"/>
      <c r="H15" s="420"/>
      <c r="I15" s="420"/>
      <c r="J15" s="485">
        <f>SUM(L15:S15)</f>
        <v>0.2</v>
      </c>
      <c r="K15" s="419"/>
      <c r="L15" s="341">
        <v>0.2</v>
      </c>
      <c r="M15" s="329"/>
      <c r="N15" s="365"/>
      <c r="O15" s="365"/>
      <c r="P15" s="365"/>
      <c r="Q15" s="365"/>
      <c r="R15" s="365"/>
      <c r="S15" s="367"/>
      <c r="T15" s="427"/>
      <c r="U15" s="366"/>
      <c r="V15" s="365"/>
      <c r="W15" s="365"/>
      <c r="X15" s="370">
        <v>0.2</v>
      </c>
      <c r="Y15" s="370"/>
      <c r="Z15" s="365"/>
      <c r="AA15" s="367"/>
      <c r="AB15" s="419" t="s">
        <v>95</v>
      </c>
      <c r="AC15" s="420"/>
      <c r="AD15" s="420"/>
      <c r="AE15" s="420"/>
      <c r="AF15" s="420"/>
      <c r="AG15" s="420"/>
      <c r="AH15" s="420"/>
      <c r="AI15" s="420"/>
      <c r="AJ15" s="420"/>
      <c r="AK15" s="485">
        <f>SUM(AM15:AT15)</f>
        <v>0</v>
      </c>
      <c r="AL15" s="419"/>
      <c r="AM15" s="375"/>
      <c r="AN15" s="376"/>
      <c r="AO15" s="365"/>
      <c r="AP15" s="365"/>
      <c r="AQ15" s="365"/>
      <c r="AR15" s="365"/>
      <c r="AS15" s="365"/>
      <c r="AT15" s="367"/>
      <c r="AU15" s="427"/>
      <c r="AV15" s="366"/>
      <c r="AW15" s="365"/>
      <c r="AX15" s="365"/>
      <c r="AY15" s="370">
        <v>0.2</v>
      </c>
      <c r="AZ15" s="370"/>
      <c r="BA15" s="365"/>
      <c r="BB15" s="367"/>
    </row>
    <row r="16" spans="1:54" ht="12.75">
      <c r="A16" s="419" t="s">
        <v>88</v>
      </c>
      <c r="B16" s="420"/>
      <c r="C16" s="420"/>
      <c r="D16" s="420"/>
      <c r="E16" s="420"/>
      <c r="F16" s="420"/>
      <c r="G16" s="420"/>
      <c r="H16" s="420"/>
      <c r="I16" s="420"/>
      <c r="J16" s="485">
        <f t="shared" si="0"/>
        <v>0.1</v>
      </c>
      <c r="K16" s="419"/>
      <c r="L16" s="427">
        <v>0.1</v>
      </c>
      <c r="M16" s="366"/>
      <c r="N16" s="365"/>
      <c r="O16" s="365"/>
      <c r="P16" s="365"/>
      <c r="Q16" s="365"/>
      <c r="R16" s="365"/>
      <c r="S16" s="367"/>
      <c r="T16" s="427"/>
      <c r="U16" s="366"/>
      <c r="V16" s="365"/>
      <c r="W16" s="365"/>
      <c r="X16" s="365"/>
      <c r="Y16" s="365"/>
      <c r="Z16" s="365"/>
      <c r="AA16" s="367"/>
      <c r="AB16" s="419" t="s">
        <v>301</v>
      </c>
      <c r="AC16" s="420"/>
      <c r="AD16" s="420"/>
      <c r="AE16" s="420"/>
      <c r="AF16" s="420"/>
      <c r="AG16" s="420"/>
      <c r="AH16" s="420"/>
      <c r="AI16" s="420"/>
      <c r="AJ16" s="420"/>
      <c r="AK16" s="485">
        <f t="shared" si="1"/>
        <v>0</v>
      </c>
      <c r="AL16" s="419"/>
      <c r="AM16" s="384"/>
      <c r="AN16" s="385"/>
      <c r="AO16" s="365"/>
      <c r="AP16" s="365"/>
      <c r="AQ16" s="365"/>
      <c r="AR16" s="365"/>
      <c r="AS16" s="365"/>
      <c r="AT16" s="367"/>
      <c r="AU16" s="427"/>
      <c r="AV16" s="366"/>
      <c r="AW16" s="365"/>
      <c r="AX16" s="365"/>
      <c r="AY16" s="365"/>
      <c r="AZ16" s="365"/>
      <c r="BA16" s="365"/>
      <c r="BB16" s="367"/>
    </row>
    <row r="17" spans="1:54" ht="12.75">
      <c r="A17" s="419" t="s">
        <v>110</v>
      </c>
      <c r="B17" s="420"/>
      <c r="C17" s="420"/>
      <c r="D17" s="420"/>
      <c r="E17" s="420"/>
      <c r="F17" s="420"/>
      <c r="G17" s="420"/>
      <c r="H17" s="420"/>
      <c r="I17" s="420"/>
      <c r="J17" s="485">
        <f t="shared" si="0"/>
        <v>0.025</v>
      </c>
      <c r="K17" s="419"/>
      <c r="L17" s="426"/>
      <c r="M17" s="365"/>
      <c r="N17" s="424"/>
      <c r="O17" s="423"/>
      <c r="P17" s="365"/>
      <c r="Q17" s="365"/>
      <c r="R17" s="329">
        <v>0.025</v>
      </c>
      <c r="S17" s="343"/>
      <c r="T17" s="515">
        <v>0.025</v>
      </c>
      <c r="U17" s="370"/>
      <c r="V17" s="424"/>
      <c r="W17" s="423"/>
      <c r="X17" s="365"/>
      <c r="Y17" s="365"/>
      <c r="Z17" s="366"/>
      <c r="AA17" s="517"/>
      <c r="AB17" s="419" t="s">
        <v>299</v>
      </c>
      <c r="AC17" s="420"/>
      <c r="AD17" s="420"/>
      <c r="AE17" s="420"/>
      <c r="AF17" s="420"/>
      <c r="AG17" s="420"/>
      <c r="AH17" s="420"/>
      <c r="AI17" s="420"/>
      <c r="AJ17" s="420"/>
      <c r="AK17" s="485">
        <f t="shared" si="1"/>
        <v>0.025</v>
      </c>
      <c r="AL17" s="419"/>
      <c r="AM17" s="539"/>
      <c r="AN17" s="238"/>
      <c r="AO17" s="424"/>
      <c r="AP17" s="423"/>
      <c r="AQ17" s="365"/>
      <c r="AR17" s="365"/>
      <c r="AS17" s="329">
        <v>0.025</v>
      </c>
      <c r="AT17" s="343"/>
      <c r="AU17" s="515">
        <v>0.025</v>
      </c>
      <c r="AV17" s="370"/>
      <c r="AW17" s="424"/>
      <c r="AX17" s="423"/>
      <c r="AY17" s="365"/>
      <c r="AZ17" s="365"/>
      <c r="BA17" s="366"/>
      <c r="BB17" s="517"/>
    </row>
    <row r="18" spans="1:54" ht="12.75">
      <c r="A18" s="419" t="s">
        <v>89</v>
      </c>
      <c r="B18" s="420"/>
      <c r="C18" s="420"/>
      <c r="D18" s="420"/>
      <c r="E18" s="420"/>
      <c r="F18" s="420"/>
      <c r="G18" s="420"/>
      <c r="H18" s="420"/>
      <c r="I18" s="420"/>
      <c r="J18" s="485">
        <f t="shared" si="0"/>
        <v>0.05</v>
      </c>
      <c r="K18" s="419"/>
      <c r="L18" s="426"/>
      <c r="M18" s="365"/>
      <c r="N18" s="365"/>
      <c r="O18" s="365"/>
      <c r="P18" s="365"/>
      <c r="Q18" s="365"/>
      <c r="R18" s="329">
        <v>0.05</v>
      </c>
      <c r="S18" s="343"/>
      <c r="T18" s="426"/>
      <c r="U18" s="365"/>
      <c r="V18" s="370">
        <v>0.05</v>
      </c>
      <c r="W18" s="370"/>
      <c r="X18" s="365"/>
      <c r="Y18" s="365"/>
      <c r="Z18" s="366"/>
      <c r="AA18" s="517"/>
      <c r="AB18" s="419" t="s">
        <v>302</v>
      </c>
      <c r="AC18" s="420"/>
      <c r="AD18" s="420"/>
      <c r="AE18" s="420"/>
      <c r="AF18" s="420"/>
      <c r="AG18" s="420"/>
      <c r="AH18" s="420"/>
      <c r="AI18" s="420"/>
      <c r="AJ18" s="420"/>
      <c r="AK18" s="485">
        <f t="shared" si="1"/>
        <v>0.05</v>
      </c>
      <c r="AL18" s="419"/>
      <c r="AM18" s="539"/>
      <c r="AN18" s="238"/>
      <c r="AO18" s="365"/>
      <c r="AP18" s="365"/>
      <c r="AQ18" s="365"/>
      <c r="AR18" s="365"/>
      <c r="AS18" s="329">
        <v>0.05</v>
      </c>
      <c r="AT18" s="343"/>
      <c r="AU18" s="426"/>
      <c r="AV18" s="365"/>
      <c r="AW18" s="370">
        <v>0.05</v>
      </c>
      <c r="AX18" s="370"/>
      <c r="AY18" s="365"/>
      <c r="AZ18" s="365"/>
      <c r="BA18" s="366"/>
      <c r="BB18" s="517"/>
    </row>
    <row r="19" spans="1:54" ht="12.75">
      <c r="A19" s="419" t="s">
        <v>90</v>
      </c>
      <c r="B19" s="420"/>
      <c r="C19" s="420"/>
      <c r="D19" s="420"/>
      <c r="E19" s="420"/>
      <c r="F19" s="420"/>
      <c r="G19" s="420"/>
      <c r="H19" s="420"/>
      <c r="I19" s="420"/>
      <c r="J19" s="485">
        <f t="shared" si="0"/>
        <v>0.05</v>
      </c>
      <c r="K19" s="419"/>
      <c r="L19" s="518">
        <v>0.05</v>
      </c>
      <c r="M19" s="519"/>
      <c r="N19" s="365"/>
      <c r="O19" s="365"/>
      <c r="P19" s="365"/>
      <c r="Q19" s="365"/>
      <c r="R19" s="365"/>
      <c r="S19" s="367"/>
      <c r="T19" s="427"/>
      <c r="U19" s="366"/>
      <c r="V19" s="365"/>
      <c r="W19" s="365"/>
      <c r="X19" s="365"/>
      <c r="Y19" s="365"/>
      <c r="Z19" s="365"/>
      <c r="AA19" s="367"/>
      <c r="AB19" s="419" t="s">
        <v>300</v>
      </c>
      <c r="AC19" s="420"/>
      <c r="AD19" s="420"/>
      <c r="AE19" s="420"/>
      <c r="AF19" s="420"/>
      <c r="AG19" s="420"/>
      <c r="AH19" s="420"/>
      <c r="AI19" s="420"/>
      <c r="AJ19" s="420"/>
      <c r="AK19" s="485">
        <v>0.025</v>
      </c>
      <c r="AL19" s="419"/>
      <c r="AM19" s="539"/>
      <c r="AN19" s="238"/>
      <c r="AO19" s="328">
        <v>0.025</v>
      </c>
      <c r="AP19" s="328"/>
      <c r="AQ19" s="365"/>
      <c r="AR19" s="365"/>
      <c r="AS19" s="329"/>
      <c r="AT19" s="343"/>
      <c r="AU19" s="426"/>
      <c r="AV19" s="365"/>
      <c r="AW19" s="370"/>
      <c r="AX19" s="370"/>
      <c r="AY19" s="365"/>
      <c r="AZ19" s="365"/>
      <c r="BA19" s="371">
        <v>0.025</v>
      </c>
      <c r="BB19" s="542"/>
    </row>
    <row r="20" spans="1:54" ht="12.75">
      <c r="A20" s="419" t="s">
        <v>94</v>
      </c>
      <c r="B20" s="420"/>
      <c r="C20" s="420"/>
      <c r="D20" s="420"/>
      <c r="E20" s="420"/>
      <c r="F20" s="420"/>
      <c r="G20" s="420"/>
      <c r="H20" s="420"/>
      <c r="I20" s="420"/>
      <c r="J20" s="485">
        <f t="shared" si="0"/>
        <v>0.05</v>
      </c>
      <c r="K20" s="419"/>
      <c r="L20" s="426"/>
      <c r="M20" s="365"/>
      <c r="N20" s="329">
        <v>0.05</v>
      </c>
      <c r="O20" s="329"/>
      <c r="P20" s="365"/>
      <c r="Q20" s="365"/>
      <c r="R20" s="365"/>
      <c r="S20" s="367"/>
      <c r="T20" s="515">
        <v>0.05</v>
      </c>
      <c r="U20" s="370"/>
      <c r="V20" s="366"/>
      <c r="W20" s="366"/>
      <c r="X20" s="365"/>
      <c r="Y20" s="365"/>
      <c r="Z20" s="365"/>
      <c r="AA20" s="367"/>
      <c r="AB20" s="419" t="s">
        <v>98</v>
      </c>
      <c r="AC20" s="420"/>
      <c r="AD20" s="420"/>
      <c r="AE20" s="420"/>
      <c r="AF20" s="420"/>
      <c r="AG20" s="420"/>
      <c r="AH20" s="420"/>
      <c r="AI20" s="420"/>
      <c r="AJ20" s="420"/>
      <c r="AK20" s="485">
        <f t="shared" si="1"/>
        <v>0</v>
      </c>
      <c r="AL20" s="419"/>
      <c r="AM20" s="543"/>
      <c r="AN20" s="544"/>
      <c r="AO20" s="365"/>
      <c r="AP20" s="365"/>
      <c r="AQ20" s="365"/>
      <c r="AR20" s="365"/>
      <c r="AS20" s="365"/>
      <c r="AT20" s="367"/>
      <c r="AU20" s="427"/>
      <c r="AV20" s="366"/>
      <c r="AW20" s="365"/>
      <c r="AX20" s="365"/>
      <c r="AY20" s="365"/>
      <c r="AZ20" s="365"/>
      <c r="BA20" s="365"/>
      <c r="BB20" s="367"/>
    </row>
    <row r="21" spans="1:54" ht="12.75">
      <c r="A21" s="419" t="s">
        <v>106</v>
      </c>
      <c r="B21" s="420"/>
      <c r="C21" s="420"/>
      <c r="D21" s="420"/>
      <c r="E21" s="420"/>
      <c r="F21" s="420"/>
      <c r="G21" s="420"/>
      <c r="H21" s="420"/>
      <c r="I21" s="420"/>
      <c r="J21" s="485">
        <f t="shared" si="0"/>
        <v>0.05</v>
      </c>
      <c r="K21" s="419"/>
      <c r="L21" s="427">
        <v>0.05</v>
      </c>
      <c r="M21" s="366"/>
      <c r="N21" s="365"/>
      <c r="O21" s="365"/>
      <c r="P21" s="365"/>
      <c r="Q21" s="365"/>
      <c r="R21" s="365"/>
      <c r="S21" s="367"/>
      <c r="T21" s="427"/>
      <c r="U21" s="366"/>
      <c r="V21" s="365"/>
      <c r="W21" s="365"/>
      <c r="X21" s="365"/>
      <c r="Y21" s="365"/>
      <c r="Z21" s="365"/>
      <c r="AA21" s="367"/>
      <c r="AB21" s="419" t="s">
        <v>304</v>
      </c>
      <c r="AC21" s="420"/>
      <c r="AD21" s="420"/>
      <c r="AE21" s="420"/>
      <c r="AF21" s="420"/>
      <c r="AG21" s="420"/>
      <c r="AH21" s="420"/>
      <c r="AI21" s="420"/>
      <c r="AJ21" s="420"/>
      <c r="AK21" s="485">
        <f t="shared" si="1"/>
        <v>0.05</v>
      </c>
      <c r="AL21" s="419"/>
      <c r="AM21" s="539"/>
      <c r="AN21" s="238"/>
      <c r="AO21" s="329">
        <v>0.05</v>
      </c>
      <c r="AP21" s="329"/>
      <c r="AQ21" s="365"/>
      <c r="AR21" s="365"/>
      <c r="AS21" s="365"/>
      <c r="AT21" s="367"/>
      <c r="AU21" s="515">
        <v>0.05</v>
      </c>
      <c r="AV21" s="370"/>
      <c r="AW21" s="366"/>
      <c r="AX21" s="366"/>
      <c r="AY21" s="365"/>
      <c r="AZ21" s="365"/>
      <c r="BA21" s="365"/>
      <c r="BB21" s="367"/>
    </row>
    <row r="22" spans="1:54" ht="12.75">
      <c r="A22" s="419" t="s">
        <v>107</v>
      </c>
      <c r="B22" s="420"/>
      <c r="C22" s="420"/>
      <c r="D22" s="420"/>
      <c r="E22" s="420"/>
      <c r="F22" s="420"/>
      <c r="G22" s="420"/>
      <c r="H22" s="420"/>
      <c r="I22" s="420"/>
      <c r="J22" s="485">
        <f t="shared" si="0"/>
        <v>0.025</v>
      </c>
      <c r="K22" s="419"/>
      <c r="L22" s="426"/>
      <c r="M22" s="365"/>
      <c r="N22" s="365"/>
      <c r="O22" s="365"/>
      <c r="P22" s="365"/>
      <c r="Q22" s="365"/>
      <c r="R22" s="329">
        <v>0.025</v>
      </c>
      <c r="S22" s="343"/>
      <c r="T22" s="515">
        <v>0.025</v>
      </c>
      <c r="U22" s="370"/>
      <c r="V22" s="365"/>
      <c r="W22" s="365"/>
      <c r="X22" s="365"/>
      <c r="Y22" s="365"/>
      <c r="Z22" s="366"/>
      <c r="AA22" s="517"/>
      <c r="AB22" s="419" t="s">
        <v>303</v>
      </c>
      <c r="AC22" s="420"/>
      <c r="AD22" s="420"/>
      <c r="AE22" s="420"/>
      <c r="AF22" s="420"/>
      <c r="AG22" s="420"/>
      <c r="AH22" s="420"/>
      <c r="AI22" s="420"/>
      <c r="AJ22" s="420"/>
      <c r="AK22" s="485">
        <f t="shared" si="1"/>
        <v>0.05</v>
      </c>
      <c r="AL22" s="419"/>
      <c r="AM22" s="539"/>
      <c r="AN22" s="238"/>
      <c r="AO22" s="365"/>
      <c r="AP22" s="365"/>
      <c r="AQ22" s="365"/>
      <c r="AR22" s="365"/>
      <c r="AS22" s="329">
        <v>0.05</v>
      </c>
      <c r="AT22" s="343"/>
      <c r="AU22" s="426"/>
      <c r="AV22" s="365"/>
      <c r="AW22" s="370">
        <v>0.05</v>
      </c>
      <c r="AX22" s="370"/>
      <c r="AY22" s="365"/>
      <c r="AZ22" s="365"/>
      <c r="BA22" s="366"/>
      <c r="BB22" s="517"/>
    </row>
    <row r="23" spans="1:54" ht="12.75">
      <c r="A23" s="419" t="s">
        <v>104</v>
      </c>
      <c r="B23" s="420"/>
      <c r="C23" s="420"/>
      <c r="D23" s="420"/>
      <c r="E23" s="420"/>
      <c r="F23" s="420"/>
      <c r="G23" s="420"/>
      <c r="H23" s="420"/>
      <c r="I23" s="420"/>
      <c r="J23" s="485">
        <f t="shared" si="0"/>
        <v>0.1</v>
      </c>
      <c r="K23" s="419"/>
      <c r="L23" s="426"/>
      <c r="M23" s="365"/>
      <c r="N23" s="365"/>
      <c r="O23" s="365"/>
      <c r="P23" s="366">
        <v>0.1</v>
      </c>
      <c r="Q23" s="366"/>
      <c r="R23" s="365"/>
      <c r="S23" s="367"/>
      <c r="T23" s="426"/>
      <c r="U23" s="365"/>
      <c r="V23" s="365"/>
      <c r="W23" s="365"/>
      <c r="X23" s="366"/>
      <c r="Y23" s="366"/>
      <c r="Z23" s="365"/>
      <c r="AA23" s="367"/>
      <c r="AB23" s="419" t="s">
        <v>102</v>
      </c>
      <c r="AC23" s="420"/>
      <c r="AD23" s="420"/>
      <c r="AE23" s="420"/>
      <c r="AF23" s="420"/>
      <c r="AG23" s="420"/>
      <c r="AH23" s="420"/>
      <c r="AI23" s="420"/>
      <c r="AJ23" s="420"/>
      <c r="AK23" s="485">
        <v>0.025</v>
      </c>
      <c r="AL23" s="419"/>
      <c r="AM23" s="539"/>
      <c r="AN23" s="238"/>
      <c r="AO23" s="328">
        <v>0.025</v>
      </c>
      <c r="AP23" s="328"/>
      <c r="AQ23" s="365"/>
      <c r="AR23" s="365"/>
      <c r="AS23" s="329"/>
      <c r="AT23" s="343"/>
      <c r="AU23" s="422"/>
      <c r="AV23" s="423"/>
      <c r="AW23" s="370"/>
      <c r="AX23" s="370"/>
      <c r="AY23" s="365"/>
      <c r="AZ23" s="365"/>
      <c r="BA23" s="371">
        <v>0.025</v>
      </c>
      <c r="BB23" s="542"/>
    </row>
    <row r="24" spans="1:54" ht="12.75">
      <c r="A24" s="419" t="s">
        <v>105</v>
      </c>
      <c r="B24" s="420"/>
      <c r="C24" s="420"/>
      <c r="D24" s="420"/>
      <c r="E24" s="420"/>
      <c r="F24" s="420"/>
      <c r="G24" s="420"/>
      <c r="H24" s="420"/>
      <c r="I24" s="420"/>
      <c r="J24" s="485">
        <f t="shared" si="0"/>
        <v>0.05</v>
      </c>
      <c r="K24" s="419"/>
      <c r="L24" s="426"/>
      <c r="M24" s="365"/>
      <c r="N24" s="365"/>
      <c r="O24" s="365"/>
      <c r="P24" s="329">
        <v>0.05</v>
      </c>
      <c r="Q24" s="329"/>
      <c r="R24" s="365"/>
      <c r="S24" s="367"/>
      <c r="T24" s="426"/>
      <c r="U24" s="365"/>
      <c r="V24" s="365"/>
      <c r="W24" s="365"/>
      <c r="X24" s="366"/>
      <c r="Y24" s="366"/>
      <c r="Z24" s="370">
        <v>0.05</v>
      </c>
      <c r="AA24" s="520"/>
      <c r="AB24" s="419" t="s">
        <v>305</v>
      </c>
      <c r="AC24" s="420"/>
      <c r="AD24" s="420"/>
      <c r="AE24" s="420"/>
      <c r="AF24" s="420"/>
      <c r="AG24" s="420"/>
      <c r="AH24" s="420"/>
      <c r="AI24" s="420"/>
      <c r="AJ24" s="420"/>
      <c r="AK24" s="485">
        <f t="shared" si="1"/>
        <v>0.05</v>
      </c>
      <c r="AL24" s="419"/>
      <c r="AM24" s="539"/>
      <c r="AN24" s="238"/>
      <c r="AO24" s="329">
        <v>0.05</v>
      </c>
      <c r="AP24" s="329"/>
      <c r="AQ24" s="365"/>
      <c r="AR24" s="365"/>
      <c r="AS24" s="365"/>
      <c r="AT24" s="367"/>
      <c r="AU24" s="426"/>
      <c r="AV24" s="365"/>
      <c r="AW24" s="366"/>
      <c r="AX24" s="366"/>
      <c r="AY24" s="370">
        <v>0.05</v>
      </c>
      <c r="AZ24" s="370"/>
      <c r="BA24" s="365"/>
      <c r="BB24" s="367"/>
    </row>
    <row r="25" spans="1:54" ht="12.75">
      <c r="A25" s="419" t="s">
        <v>108</v>
      </c>
      <c r="B25" s="420"/>
      <c r="C25" s="420"/>
      <c r="D25" s="420"/>
      <c r="E25" s="420"/>
      <c r="F25" s="420"/>
      <c r="G25" s="420"/>
      <c r="H25" s="420"/>
      <c r="I25" s="420"/>
      <c r="J25" s="485">
        <f t="shared" si="0"/>
        <v>0.05</v>
      </c>
      <c r="K25" s="419"/>
      <c r="L25" s="426"/>
      <c r="M25" s="365"/>
      <c r="N25" s="365"/>
      <c r="O25" s="365"/>
      <c r="P25" s="329">
        <v>0.05</v>
      </c>
      <c r="Q25" s="329"/>
      <c r="R25" s="365"/>
      <c r="S25" s="367"/>
      <c r="T25" s="426"/>
      <c r="U25" s="365"/>
      <c r="V25" s="365"/>
      <c r="W25" s="365"/>
      <c r="X25" s="366"/>
      <c r="Y25" s="366"/>
      <c r="Z25" s="370">
        <v>0.05</v>
      </c>
      <c r="AA25" s="520"/>
      <c r="AB25" s="419" t="s">
        <v>104</v>
      </c>
      <c r="AC25" s="420"/>
      <c r="AD25" s="420"/>
      <c r="AE25" s="420"/>
      <c r="AF25" s="420"/>
      <c r="AG25" s="420"/>
      <c r="AH25" s="420"/>
      <c r="AI25" s="420"/>
      <c r="AJ25" s="420"/>
      <c r="AK25" s="485">
        <f t="shared" si="1"/>
        <v>0.05</v>
      </c>
      <c r="AL25" s="419"/>
      <c r="AM25" s="539"/>
      <c r="AN25" s="238"/>
      <c r="AO25" s="365"/>
      <c r="AP25" s="365"/>
      <c r="AQ25" s="365"/>
      <c r="AR25" s="365"/>
      <c r="AS25" s="329">
        <v>0.05</v>
      </c>
      <c r="AT25" s="343"/>
      <c r="AU25" s="426"/>
      <c r="AV25" s="365"/>
      <c r="AW25" s="370">
        <v>0.05</v>
      </c>
      <c r="AX25" s="370"/>
      <c r="AY25" s="365"/>
      <c r="AZ25" s="365"/>
      <c r="BA25" s="366"/>
      <c r="BB25" s="517"/>
    </row>
    <row r="26" spans="1:54" ht="13.5" thickBot="1">
      <c r="A26" s="419" t="s">
        <v>109</v>
      </c>
      <c r="B26" s="420"/>
      <c r="C26" s="420"/>
      <c r="D26" s="420"/>
      <c r="E26" s="420"/>
      <c r="F26" s="420"/>
      <c r="G26" s="420"/>
      <c r="H26" s="420"/>
      <c r="I26" s="420"/>
      <c r="J26" s="525">
        <f t="shared" si="0"/>
        <v>0.1</v>
      </c>
      <c r="K26" s="473"/>
      <c r="L26" s="526">
        <v>0.1</v>
      </c>
      <c r="M26" s="527"/>
      <c r="N26" s="412"/>
      <c r="O26" s="412"/>
      <c r="P26" s="412"/>
      <c r="Q26" s="412"/>
      <c r="R26" s="521"/>
      <c r="S26" s="522"/>
      <c r="T26" s="523"/>
      <c r="U26" s="524"/>
      <c r="V26" s="412"/>
      <c r="W26" s="412"/>
      <c r="X26" s="412"/>
      <c r="Y26" s="412"/>
      <c r="Z26" s="521"/>
      <c r="AA26" s="522"/>
      <c r="AB26" s="419" t="s">
        <v>306</v>
      </c>
      <c r="AC26" s="420"/>
      <c r="AD26" s="420"/>
      <c r="AE26" s="420"/>
      <c r="AF26" s="420"/>
      <c r="AG26" s="420"/>
      <c r="AH26" s="420"/>
      <c r="AI26" s="420"/>
      <c r="AJ26" s="420"/>
      <c r="AK26" s="485">
        <f t="shared" si="1"/>
        <v>0.05</v>
      </c>
      <c r="AL26" s="419"/>
      <c r="AM26" s="539"/>
      <c r="AN26" s="238"/>
      <c r="AO26" s="329">
        <v>0.05</v>
      </c>
      <c r="AP26" s="329"/>
      <c r="AQ26" s="365"/>
      <c r="AR26" s="365"/>
      <c r="AS26" s="365"/>
      <c r="AT26" s="367"/>
      <c r="AU26" s="426"/>
      <c r="AV26" s="365"/>
      <c r="AW26" s="366"/>
      <c r="AX26" s="366"/>
      <c r="AY26" s="370">
        <v>0.05</v>
      </c>
      <c r="AZ26" s="370"/>
      <c r="BA26" s="365"/>
      <c r="BB26" s="367"/>
    </row>
    <row r="27" spans="10:54" ht="13.5" thickBot="1">
      <c r="J27" s="348">
        <f>SUM(J3:K26)</f>
        <v>1.5500000000000005</v>
      </c>
      <c r="K27" s="324"/>
      <c r="L27" s="348">
        <f>SUM(L3:M26)</f>
        <v>1.1500000000000001</v>
      </c>
      <c r="M27" s="324"/>
      <c r="N27" s="348">
        <f>SUM(N3:O26)</f>
        <v>0.1</v>
      </c>
      <c r="O27" s="324"/>
      <c r="P27" s="348">
        <f>SUM(P3:Q26)</f>
        <v>0.2</v>
      </c>
      <c r="Q27" s="324"/>
      <c r="R27" s="348">
        <f>SUM(R3:S26)</f>
        <v>0.1</v>
      </c>
      <c r="S27" s="324"/>
      <c r="T27" s="348">
        <f>SUM(T3:U26)</f>
        <v>0.15</v>
      </c>
      <c r="U27" s="324"/>
      <c r="V27" s="348">
        <f>SUM(V3:W26)</f>
        <v>0.05</v>
      </c>
      <c r="W27" s="324"/>
      <c r="X27" s="348">
        <f>SUM(X3:Y26)</f>
        <v>0.2</v>
      </c>
      <c r="Y27" s="324"/>
      <c r="Z27" s="348">
        <f>SUM(Z3:AA26)</f>
        <v>0.1</v>
      </c>
      <c r="AA27" s="324"/>
      <c r="AB27" s="419" t="s">
        <v>307</v>
      </c>
      <c r="AC27" s="420"/>
      <c r="AD27" s="420"/>
      <c r="AE27" s="420"/>
      <c r="AF27" s="420"/>
      <c r="AG27" s="420"/>
      <c r="AH27" s="420"/>
      <c r="AI27" s="420"/>
      <c r="AJ27" s="420"/>
      <c r="AK27" s="485">
        <f t="shared" si="1"/>
        <v>0.1</v>
      </c>
      <c r="AL27" s="419"/>
      <c r="AM27" s="539"/>
      <c r="AN27" s="238"/>
      <c r="AO27" s="365"/>
      <c r="AP27" s="365"/>
      <c r="AQ27" s="366">
        <v>0.1</v>
      </c>
      <c r="AR27" s="366"/>
      <c r="AS27" s="365"/>
      <c r="AT27" s="367"/>
      <c r="AU27" s="426"/>
      <c r="AV27" s="365"/>
      <c r="AW27" s="365"/>
      <c r="AX27" s="365"/>
      <c r="AY27" s="366"/>
      <c r="AZ27" s="366"/>
      <c r="BA27" s="365"/>
      <c r="BB27" s="367"/>
    </row>
    <row r="28" spans="12:54" ht="13.5" thickBot="1">
      <c r="L28" s="325">
        <f>SUM(L27:S27)</f>
        <v>1.5500000000000003</v>
      </c>
      <c r="M28" s="325"/>
      <c r="N28" s="325"/>
      <c r="O28" s="325"/>
      <c r="P28" s="325"/>
      <c r="Q28" s="325"/>
      <c r="R28" s="325"/>
      <c r="S28" s="325"/>
      <c r="T28" s="325">
        <f>SUM(T27:AA27)</f>
        <v>0.5</v>
      </c>
      <c r="U28" s="325"/>
      <c r="V28" s="325"/>
      <c r="W28" s="325"/>
      <c r="X28" s="325"/>
      <c r="Y28" s="325"/>
      <c r="Z28" s="325"/>
      <c r="AA28" s="325"/>
      <c r="AB28" s="419" t="s">
        <v>308</v>
      </c>
      <c r="AC28" s="420"/>
      <c r="AD28" s="420"/>
      <c r="AE28" s="420"/>
      <c r="AF28" s="420"/>
      <c r="AG28" s="420"/>
      <c r="AH28" s="420"/>
      <c r="AI28" s="420"/>
      <c r="AJ28" s="420"/>
      <c r="AK28" s="485">
        <f t="shared" si="1"/>
        <v>0.05</v>
      </c>
      <c r="AL28" s="419"/>
      <c r="AM28" s="539"/>
      <c r="AN28" s="238"/>
      <c r="AO28" s="365"/>
      <c r="AP28" s="365"/>
      <c r="AQ28" s="365"/>
      <c r="AR28" s="365"/>
      <c r="AS28" s="329">
        <v>0.05</v>
      </c>
      <c r="AT28" s="343"/>
      <c r="AU28" s="426"/>
      <c r="AV28" s="365"/>
      <c r="AW28" s="365"/>
      <c r="AX28" s="365"/>
      <c r="AY28" s="370">
        <v>0.05</v>
      </c>
      <c r="AZ28" s="370"/>
      <c r="BA28" s="366"/>
      <c r="BB28" s="517"/>
    </row>
    <row r="29" spans="1:54" ht="12.75">
      <c r="A29" s="505" t="s">
        <v>170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7"/>
      <c r="L29" s="390" t="s">
        <v>118</v>
      </c>
      <c r="M29" s="325"/>
      <c r="N29" s="325"/>
      <c r="O29" s="325"/>
      <c r="P29" s="325"/>
      <c r="Q29" s="325"/>
      <c r="R29" s="325"/>
      <c r="S29" s="391"/>
      <c r="T29" s="390" t="s">
        <v>119</v>
      </c>
      <c r="U29" s="325"/>
      <c r="V29" s="325"/>
      <c r="W29" s="325"/>
      <c r="X29" s="325"/>
      <c r="Y29" s="325"/>
      <c r="Z29" s="325"/>
      <c r="AA29" s="391"/>
      <c r="AB29" s="419" t="s">
        <v>312</v>
      </c>
      <c r="AC29" s="420"/>
      <c r="AD29" s="420"/>
      <c r="AE29" s="420"/>
      <c r="AF29" s="420"/>
      <c r="AG29" s="420"/>
      <c r="AH29" s="420"/>
      <c r="AI29" s="420"/>
      <c r="AJ29" s="420"/>
      <c r="AK29" s="485">
        <f t="shared" si="1"/>
        <v>0.1</v>
      </c>
      <c r="AL29" s="419"/>
      <c r="AM29" s="539"/>
      <c r="AN29" s="238"/>
      <c r="AO29" s="365"/>
      <c r="AP29" s="365"/>
      <c r="AQ29" s="366">
        <v>0.1</v>
      </c>
      <c r="AR29" s="366"/>
      <c r="AS29" s="365"/>
      <c r="AT29" s="367"/>
      <c r="AU29" s="426"/>
      <c r="AV29" s="365"/>
      <c r="AW29" s="365"/>
      <c r="AX29" s="365"/>
      <c r="AY29" s="366"/>
      <c r="AZ29" s="366"/>
      <c r="BA29" s="365"/>
      <c r="BB29" s="367"/>
    </row>
    <row r="30" spans="1:54" ht="13.5" thickBot="1">
      <c r="A30" s="530" t="s">
        <v>156</v>
      </c>
      <c r="B30" s="528"/>
      <c r="C30" s="528"/>
      <c r="D30" s="528"/>
      <c r="E30" s="528"/>
      <c r="F30" s="528"/>
      <c r="G30" s="528"/>
      <c r="H30" s="528"/>
      <c r="I30" s="528"/>
      <c r="J30" s="528" t="s">
        <v>33</v>
      </c>
      <c r="K30" s="529"/>
      <c r="L30" s="530" t="s">
        <v>117</v>
      </c>
      <c r="M30" s="528"/>
      <c r="N30" s="528" t="s">
        <v>113</v>
      </c>
      <c r="O30" s="528"/>
      <c r="P30" s="528" t="s">
        <v>114</v>
      </c>
      <c r="Q30" s="528"/>
      <c r="R30" s="528" t="s">
        <v>115</v>
      </c>
      <c r="S30" s="529"/>
      <c r="T30" s="530" t="s">
        <v>117</v>
      </c>
      <c r="U30" s="528"/>
      <c r="V30" s="528" t="s">
        <v>113</v>
      </c>
      <c r="W30" s="528"/>
      <c r="X30" s="528" t="s">
        <v>114</v>
      </c>
      <c r="Y30" s="528"/>
      <c r="Z30" s="528" t="s">
        <v>115</v>
      </c>
      <c r="AA30" s="529"/>
      <c r="AB30" s="419" t="s">
        <v>309</v>
      </c>
      <c r="AC30" s="420"/>
      <c r="AD30" s="420"/>
      <c r="AE30" s="420"/>
      <c r="AF30" s="420"/>
      <c r="AG30" s="420"/>
      <c r="AH30" s="420"/>
      <c r="AI30" s="420"/>
      <c r="AJ30" s="420"/>
      <c r="AK30" s="485">
        <f t="shared" si="1"/>
        <v>0.1</v>
      </c>
      <c r="AL30" s="419"/>
      <c r="AM30" s="539"/>
      <c r="AN30" s="238"/>
      <c r="AO30" s="376">
        <v>0.1</v>
      </c>
      <c r="AP30" s="376"/>
      <c r="AQ30" s="365"/>
      <c r="AR30" s="365"/>
      <c r="AS30" s="365"/>
      <c r="AT30" s="367"/>
      <c r="AU30" s="426"/>
      <c r="AV30" s="365"/>
      <c r="AW30" s="366"/>
      <c r="AX30" s="366"/>
      <c r="AY30" s="370">
        <v>0.1</v>
      </c>
      <c r="AZ30" s="370"/>
      <c r="BA30" s="365"/>
      <c r="BB30" s="367"/>
    </row>
    <row r="31" spans="1:54" ht="12.75">
      <c r="A31" s="500" t="s">
        <v>203</v>
      </c>
      <c r="B31" s="501"/>
      <c r="C31" s="501"/>
      <c r="D31" s="501"/>
      <c r="E31" s="501"/>
      <c r="F31" s="501"/>
      <c r="G31" s="501"/>
      <c r="H31" s="501"/>
      <c r="I31" s="501"/>
      <c r="J31" s="502">
        <f aca="true" t="shared" si="2" ref="J31:J36">SUM(L31:S31)</f>
        <v>0</v>
      </c>
      <c r="K31" s="503"/>
      <c r="L31" s="504"/>
      <c r="M31" s="499"/>
      <c r="N31" s="388"/>
      <c r="O31" s="388"/>
      <c r="P31" s="388"/>
      <c r="Q31" s="388"/>
      <c r="R31" s="388"/>
      <c r="S31" s="455"/>
      <c r="T31" s="498"/>
      <c r="U31" s="499"/>
      <c r="V31" s="388"/>
      <c r="W31" s="388"/>
      <c r="X31" s="388"/>
      <c r="Y31" s="388"/>
      <c r="Z31" s="388"/>
      <c r="AA31" s="389"/>
      <c r="AB31" s="420" t="s">
        <v>310</v>
      </c>
      <c r="AC31" s="420"/>
      <c r="AD31" s="420"/>
      <c r="AE31" s="420"/>
      <c r="AF31" s="420"/>
      <c r="AG31" s="420"/>
      <c r="AH31" s="420"/>
      <c r="AI31" s="420"/>
      <c r="AJ31" s="420"/>
      <c r="AK31" s="485">
        <f t="shared" si="1"/>
        <v>0.1</v>
      </c>
      <c r="AL31" s="419"/>
      <c r="AM31" s="539"/>
      <c r="AN31" s="238"/>
      <c r="AO31" s="365"/>
      <c r="AP31" s="365"/>
      <c r="AQ31" s="366">
        <v>0.1</v>
      </c>
      <c r="AR31" s="366"/>
      <c r="AS31" s="365"/>
      <c r="AT31" s="367"/>
      <c r="AU31" s="515"/>
      <c r="AV31" s="370"/>
      <c r="AW31" s="365"/>
      <c r="AX31" s="365"/>
      <c r="AY31" s="366"/>
      <c r="AZ31" s="366"/>
      <c r="BA31" s="365"/>
      <c r="BB31" s="367"/>
    </row>
    <row r="32" spans="1:54" ht="12.75">
      <c r="A32" s="483" t="s">
        <v>204</v>
      </c>
      <c r="B32" s="484"/>
      <c r="C32" s="484"/>
      <c r="D32" s="484"/>
      <c r="E32" s="484"/>
      <c r="F32" s="484"/>
      <c r="G32" s="484"/>
      <c r="H32" s="484"/>
      <c r="I32" s="484"/>
      <c r="J32" s="485">
        <f t="shared" si="2"/>
        <v>0</v>
      </c>
      <c r="K32" s="486"/>
      <c r="L32" s="482"/>
      <c r="M32" s="366"/>
      <c r="N32" s="487" t="s">
        <v>207</v>
      </c>
      <c r="O32" s="488"/>
      <c r="P32" s="488"/>
      <c r="Q32" s="488"/>
      <c r="R32" s="488"/>
      <c r="S32" s="489"/>
      <c r="T32" s="427"/>
      <c r="U32" s="366"/>
      <c r="V32" s="365"/>
      <c r="W32" s="365"/>
      <c r="X32" s="365"/>
      <c r="Y32" s="365"/>
      <c r="Z32" s="365"/>
      <c r="AA32" s="367"/>
      <c r="AB32" s="420" t="s">
        <v>311</v>
      </c>
      <c r="AC32" s="420"/>
      <c r="AD32" s="420"/>
      <c r="AE32" s="420"/>
      <c r="AF32" s="420"/>
      <c r="AG32" s="420"/>
      <c r="AH32" s="420"/>
      <c r="AI32" s="420"/>
      <c r="AJ32" s="420"/>
      <c r="AK32" s="485">
        <v>0.025</v>
      </c>
      <c r="AL32" s="419"/>
      <c r="AM32" s="539"/>
      <c r="AN32" s="238"/>
      <c r="AO32" s="328">
        <v>0.025</v>
      </c>
      <c r="AP32" s="328"/>
      <c r="AQ32" s="365"/>
      <c r="AR32" s="365"/>
      <c r="AS32" s="329"/>
      <c r="AT32" s="343"/>
      <c r="AU32" s="422"/>
      <c r="AV32" s="423"/>
      <c r="AW32" s="370"/>
      <c r="AX32" s="370"/>
      <c r="AY32" s="365"/>
      <c r="AZ32" s="365"/>
      <c r="BA32" s="371">
        <v>0.025</v>
      </c>
      <c r="BB32" s="542"/>
    </row>
    <row r="33" spans="1:54" ht="12.75">
      <c r="A33" s="483" t="s">
        <v>206</v>
      </c>
      <c r="B33" s="484"/>
      <c r="C33" s="484"/>
      <c r="D33" s="484"/>
      <c r="E33" s="484"/>
      <c r="F33" s="484"/>
      <c r="G33" s="484"/>
      <c r="H33" s="484"/>
      <c r="I33" s="484"/>
      <c r="J33" s="485">
        <f>SUM(L33:S33)</f>
        <v>0</v>
      </c>
      <c r="K33" s="486"/>
      <c r="L33" s="482"/>
      <c r="M33" s="366"/>
      <c r="N33" s="490"/>
      <c r="O33" s="491"/>
      <c r="P33" s="491"/>
      <c r="Q33" s="491"/>
      <c r="R33" s="491"/>
      <c r="S33" s="492"/>
      <c r="T33" s="427"/>
      <c r="U33" s="366"/>
      <c r="V33" s="365"/>
      <c r="W33" s="365"/>
      <c r="X33" s="365"/>
      <c r="Y33" s="365"/>
      <c r="Z33" s="365"/>
      <c r="AA33" s="367"/>
      <c r="AB33" s="420" t="s">
        <v>313</v>
      </c>
      <c r="AC33" s="420"/>
      <c r="AD33" s="420"/>
      <c r="AE33" s="420"/>
      <c r="AF33" s="420"/>
      <c r="AG33" s="420"/>
      <c r="AH33" s="420"/>
      <c r="AI33" s="420"/>
      <c r="AJ33" s="420"/>
      <c r="AK33" s="485">
        <f t="shared" si="1"/>
        <v>0</v>
      </c>
      <c r="AL33" s="419"/>
      <c r="AM33" s="384"/>
      <c r="AN33" s="385"/>
      <c r="AO33" s="365"/>
      <c r="AP33" s="365"/>
      <c r="AQ33" s="365"/>
      <c r="AR33" s="365"/>
      <c r="AS33" s="365"/>
      <c r="AT33" s="367"/>
      <c r="AU33" s="427"/>
      <c r="AV33" s="366"/>
      <c r="AW33" s="365"/>
      <c r="AX33" s="365"/>
      <c r="AY33" s="365"/>
      <c r="AZ33" s="365"/>
      <c r="BA33" s="365"/>
      <c r="BB33" s="367"/>
    </row>
    <row r="34" spans="1:54" ht="12.75">
      <c r="A34" s="483" t="s">
        <v>205</v>
      </c>
      <c r="B34" s="484"/>
      <c r="C34" s="484"/>
      <c r="D34" s="484"/>
      <c r="E34" s="484"/>
      <c r="F34" s="484"/>
      <c r="G34" s="484"/>
      <c r="H34" s="484"/>
      <c r="I34" s="484"/>
      <c r="J34" s="485">
        <f t="shared" si="2"/>
        <v>0</v>
      </c>
      <c r="K34" s="486"/>
      <c r="L34" s="482"/>
      <c r="M34" s="366"/>
      <c r="N34" s="493"/>
      <c r="O34" s="494"/>
      <c r="P34" s="494"/>
      <c r="Q34" s="494"/>
      <c r="R34" s="494"/>
      <c r="S34" s="495"/>
      <c r="T34" s="427"/>
      <c r="U34" s="366"/>
      <c r="V34" s="365"/>
      <c r="W34" s="365"/>
      <c r="X34" s="365"/>
      <c r="Y34" s="365"/>
      <c r="Z34" s="365"/>
      <c r="AA34" s="367"/>
      <c r="AB34" s="420" t="s">
        <v>314</v>
      </c>
      <c r="AC34" s="420"/>
      <c r="AD34" s="420"/>
      <c r="AE34" s="420"/>
      <c r="AF34" s="420"/>
      <c r="AG34" s="420"/>
      <c r="AH34" s="420"/>
      <c r="AI34" s="420"/>
      <c r="AJ34" s="420"/>
      <c r="AK34" s="485">
        <f t="shared" si="1"/>
        <v>0.025</v>
      </c>
      <c r="AL34" s="419"/>
      <c r="AM34" s="539"/>
      <c r="AN34" s="238"/>
      <c r="AO34" s="365"/>
      <c r="AP34" s="365"/>
      <c r="AQ34" s="365"/>
      <c r="AR34" s="365"/>
      <c r="AS34" s="329">
        <v>0.025</v>
      </c>
      <c r="AT34" s="343"/>
      <c r="AU34" s="515">
        <v>0.025</v>
      </c>
      <c r="AV34" s="370"/>
      <c r="AW34" s="365"/>
      <c r="AX34" s="365"/>
      <c r="AY34" s="365"/>
      <c r="AZ34" s="365"/>
      <c r="BA34" s="366"/>
      <c r="BB34" s="517"/>
    </row>
    <row r="35" spans="1:54" ht="12.75">
      <c r="A35" s="483" t="s">
        <v>212</v>
      </c>
      <c r="B35" s="484"/>
      <c r="C35" s="484"/>
      <c r="D35" s="484"/>
      <c r="E35" s="484"/>
      <c r="F35" s="484"/>
      <c r="G35" s="484"/>
      <c r="H35" s="484"/>
      <c r="I35" s="484"/>
      <c r="J35" s="485">
        <f t="shared" si="2"/>
        <v>0</v>
      </c>
      <c r="K35" s="486"/>
      <c r="L35" s="482"/>
      <c r="M35" s="366"/>
      <c r="N35" s="365"/>
      <c r="O35" s="365"/>
      <c r="P35" s="365"/>
      <c r="Q35" s="365"/>
      <c r="R35" s="365"/>
      <c r="S35" s="424"/>
      <c r="T35" s="427"/>
      <c r="U35" s="366"/>
      <c r="V35" s="365"/>
      <c r="W35" s="365"/>
      <c r="X35" s="365"/>
      <c r="Y35" s="365"/>
      <c r="Z35" s="365"/>
      <c r="AA35" s="367"/>
      <c r="AB35" s="420" t="s">
        <v>315</v>
      </c>
      <c r="AC35" s="420"/>
      <c r="AD35" s="420"/>
      <c r="AE35" s="420"/>
      <c r="AF35" s="420"/>
      <c r="AG35" s="420"/>
      <c r="AH35" s="420"/>
      <c r="AI35" s="420"/>
      <c r="AJ35" s="420"/>
      <c r="AK35" s="485">
        <f t="shared" si="1"/>
        <v>0.1</v>
      </c>
      <c r="AL35" s="419"/>
      <c r="AM35" s="539"/>
      <c r="AN35" s="238"/>
      <c r="AO35" s="365"/>
      <c r="AP35" s="365"/>
      <c r="AQ35" s="366">
        <v>0.1</v>
      </c>
      <c r="AR35" s="366"/>
      <c r="AS35" s="365"/>
      <c r="AT35" s="367"/>
      <c r="AU35" s="426"/>
      <c r="AV35" s="365"/>
      <c r="AW35" s="365"/>
      <c r="AX35" s="365"/>
      <c r="AY35" s="366"/>
      <c r="AZ35" s="366"/>
      <c r="BA35" s="365"/>
      <c r="BB35" s="367"/>
    </row>
    <row r="36" spans="1:54" ht="12.75">
      <c r="A36" s="483" t="s">
        <v>213</v>
      </c>
      <c r="B36" s="484"/>
      <c r="C36" s="484"/>
      <c r="D36" s="484"/>
      <c r="E36" s="484"/>
      <c r="F36" s="484"/>
      <c r="G36" s="484"/>
      <c r="H36" s="484"/>
      <c r="I36" s="484"/>
      <c r="J36" s="485">
        <f t="shared" si="2"/>
        <v>0</v>
      </c>
      <c r="K36" s="486"/>
      <c r="L36" s="482"/>
      <c r="M36" s="366"/>
      <c r="N36" s="365"/>
      <c r="O36" s="365"/>
      <c r="P36" s="365"/>
      <c r="Q36" s="365"/>
      <c r="R36" s="365"/>
      <c r="S36" s="424"/>
      <c r="T36" s="427"/>
      <c r="U36" s="366"/>
      <c r="V36" s="365"/>
      <c r="W36" s="365"/>
      <c r="X36" s="365"/>
      <c r="Y36" s="365"/>
      <c r="Z36" s="365"/>
      <c r="AA36" s="367"/>
      <c r="AB36" s="420" t="s">
        <v>316</v>
      </c>
      <c r="AC36" s="420"/>
      <c r="AD36" s="420"/>
      <c r="AE36" s="420"/>
      <c r="AF36" s="420"/>
      <c r="AG36" s="420"/>
      <c r="AH36" s="420"/>
      <c r="AI36" s="420"/>
      <c r="AJ36" s="420"/>
      <c r="AK36" s="485">
        <f t="shared" si="1"/>
        <v>0.05</v>
      </c>
      <c r="AL36" s="419"/>
      <c r="AM36" s="539"/>
      <c r="AN36" s="238"/>
      <c r="AO36" s="365"/>
      <c r="AP36" s="365"/>
      <c r="AQ36" s="329">
        <v>0.05</v>
      </c>
      <c r="AR36" s="329"/>
      <c r="AS36" s="365"/>
      <c r="AT36" s="367"/>
      <c r="AU36" s="426"/>
      <c r="AV36" s="365"/>
      <c r="AW36" s="365"/>
      <c r="AX36" s="365"/>
      <c r="AY36" s="366"/>
      <c r="AZ36" s="366"/>
      <c r="BA36" s="370">
        <v>0.05</v>
      </c>
      <c r="BB36" s="520"/>
    </row>
    <row r="37" spans="1:54" ht="12.75">
      <c r="A37" s="497" t="s">
        <v>87</v>
      </c>
      <c r="B37" s="485"/>
      <c r="C37" s="485"/>
      <c r="D37" s="485"/>
      <c r="E37" s="485"/>
      <c r="F37" s="485"/>
      <c r="G37" s="485"/>
      <c r="H37" s="485"/>
      <c r="I37" s="485"/>
      <c r="J37" s="485">
        <f aca="true" t="shared" si="3" ref="J37:J42">SUM(L37:S37)</f>
        <v>0.05</v>
      </c>
      <c r="K37" s="486"/>
      <c r="L37" s="482">
        <v>0.05</v>
      </c>
      <c r="M37" s="366"/>
      <c r="N37" s="365"/>
      <c r="O37" s="365"/>
      <c r="P37" s="365"/>
      <c r="Q37" s="365"/>
      <c r="R37" s="365"/>
      <c r="S37" s="424"/>
      <c r="T37" s="427"/>
      <c r="U37" s="366"/>
      <c r="V37" s="365"/>
      <c r="W37" s="365"/>
      <c r="X37" s="365"/>
      <c r="Y37" s="365"/>
      <c r="Z37" s="365"/>
      <c r="AA37" s="367"/>
      <c r="AB37" s="420" t="s">
        <v>317</v>
      </c>
      <c r="AC37" s="420"/>
      <c r="AD37" s="420"/>
      <c r="AE37" s="420"/>
      <c r="AF37" s="420"/>
      <c r="AG37" s="420"/>
      <c r="AH37" s="420"/>
      <c r="AI37" s="420"/>
      <c r="AJ37" s="420"/>
      <c r="AK37" s="485">
        <f t="shared" si="1"/>
        <v>0.05</v>
      </c>
      <c r="AL37" s="419"/>
      <c r="AM37" s="539"/>
      <c r="AN37" s="238"/>
      <c r="AO37" s="365"/>
      <c r="AP37" s="365"/>
      <c r="AQ37" s="329">
        <v>0.05</v>
      </c>
      <c r="AR37" s="329"/>
      <c r="AS37" s="365"/>
      <c r="AT37" s="367"/>
      <c r="AU37" s="426"/>
      <c r="AV37" s="365"/>
      <c r="AW37" s="365"/>
      <c r="AX37" s="365"/>
      <c r="AY37" s="366"/>
      <c r="AZ37" s="366"/>
      <c r="BA37" s="370">
        <v>0.05</v>
      </c>
      <c r="BB37" s="520"/>
    </row>
    <row r="38" spans="1:54" ht="12.75">
      <c r="A38" s="497" t="s">
        <v>93</v>
      </c>
      <c r="B38" s="485"/>
      <c r="C38" s="485"/>
      <c r="D38" s="485"/>
      <c r="E38" s="485"/>
      <c r="F38" s="485"/>
      <c r="G38" s="485"/>
      <c r="H38" s="485"/>
      <c r="I38" s="485"/>
      <c r="J38" s="485">
        <f t="shared" si="3"/>
        <v>0.05</v>
      </c>
      <c r="K38" s="486"/>
      <c r="L38" s="423"/>
      <c r="M38" s="365"/>
      <c r="N38" s="329">
        <v>0.05</v>
      </c>
      <c r="O38" s="329"/>
      <c r="P38" s="365"/>
      <c r="Q38" s="365"/>
      <c r="R38" s="365"/>
      <c r="S38" s="424"/>
      <c r="T38" s="515">
        <v>0.05</v>
      </c>
      <c r="U38" s="370"/>
      <c r="V38" s="366"/>
      <c r="W38" s="366"/>
      <c r="X38" s="365"/>
      <c r="Y38" s="365"/>
      <c r="Z38" s="365"/>
      <c r="AA38" s="367"/>
      <c r="AB38" s="420" t="s">
        <v>318</v>
      </c>
      <c r="AC38" s="420"/>
      <c r="AD38" s="420"/>
      <c r="AE38" s="420"/>
      <c r="AF38" s="420"/>
      <c r="AG38" s="420"/>
      <c r="AH38" s="420"/>
      <c r="AI38" s="420"/>
      <c r="AJ38" s="420"/>
      <c r="AK38" s="525">
        <f>SUM(AM38:AT38)</f>
        <v>0.025</v>
      </c>
      <c r="AL38" s="473"/>
      <c r="AM38" s="384"/>
      <c r="AN38" s="385"/>
      <c r="AO38" s="328">
        <v>0.025</v>
      </c>
      <c r="AP38" s="328"/>
      <c r="AQ38" s="365"/>
      <c r="AR38" s="365"/>
      <c r="AS38" s="424"/>
      <c r="AT38" s="425"/>
      <c r="AU38" s="427"/>
      <c r="AV38" s="366"/>
      <c r="AW38" s="365"/>
      <c r="AX38" s="365"/>
      <c r="AY38" s="365"/>
      <c r="AZ38" s="365"/>
      <c r="BA38" s="371">
        <v>0.025</v>
      </c>
      <c r="BB38" s="542"/>
    </row>
    <row r="39" spans="1:54" ht="13.5" thickBot="1">
      <c r="A39" s="497" t="s">
        <v>99</v>
      </c>
      <c r="B39" s="485"/>
      <c r="C39" s="485"/>
      <c r="D39" s="485"/>
      <c r="E39" s="485"/>
      <c r="F39" s="485"/>
      <c r="G39" s="485"/>
      <c r="H39" s="485"/>
      <c r="I39" s="485"/>
      <c r="J39" s="485">
        <f t="shared" si="3"/>
        <v>0.05</v>
      </c>
      <c r="K39" s="486"/>
      <c r="L39" s="531">
        <v>0.05</v>
      </c>
      <c r="M39" s="514"/>
      <c r="N39" s="238"/>
      <c r="O39" s="238"/>
      <c r="P39" s="238"/>
      <c r="Q39" s="238"/>
      <c r="R39" s="238"/>
      <c r="S39" s="532"/>
      <c r="T39" s="384"/>
      <c r="U39" s="385"/>
      <c r="V39" s="238"/>
      <c r="W39" s="238"/>
      <c r="X39" s="238"/>
      <c r="Y39" s="238"/>
      <c r="Z39" s="238"/>
      <c r="AA39" s="516"/>
      <c r="AB39" s="419" t="s">
        <v>319</v>
      </c>
      <c r="AC39" s="420"/>
      <c r="AD39" s="420"/>
      <c r="AE39" s="420"/>
      <c r="AF39" s="420"/>
      <c r="AG39" s="420"/>
      <c r="AH39" s="420"/>
      <c r="AI39" s="420"/>
      <c r="AJ39" s="420"/>
      <c r="AK39" s="525">
        <f t="shared" si="1"/>
        <v>0</v>
      </c>
      <c r="AL39" s="473"/>
      <c r="AM39" s="349"/>
      <c r="AN39" s="350"/>
      <c r="AO39" s="412"/>
      <c r="AP39" s="412"/>
      <c r="AQ39" s="412"/>
      <c r="AR39" s="412"/>
      <c r="AS39" s="521"/>
      <c r="AT39" s="522"/>
      <c r="AU39" s="523"/>
      <c r="AV39" s="524"/>
      <c r="AW39" s="412"/>
      <c r="AX39" s="412"/>
      <c r="AY39" s="412"/>
      <c r="AZ39" s="412"/>
      <c r="BA39" s="521"/>
      <c r="BB39" s="522"/>
    </row>
    <row r="40" spans="1:54" ht="13.5" thickBot="1">
      <c r="A40" s="497" t="s">
        <v>90</v>
      </c>
      <c r="B40" s="485"/>
      <c r="C40" s="485"/>
      <c r="D40" s="485"/>
      <c r="E40" s="485"/>
      <c r="F40" s="485"/>
      <c r="G40" s="485"/>
      <c r="H40" s="485"/>
      <c r="I40" s="485"/>
      <c r="J40" s="485">
        <f t="shared" si="3"/>
        <v>0.05</v>
      </c>
      <c r="K40" s="486"/>
      <c r="L40" s="533">
        <v>0.05</v>
      </c>
      <c r="M40" s="519"/>
      <c r="N40" s="365"/>
      <c r="O40" s="365"/>
      <c r="P40" s="365"/>
      <c r="Q40" s="365"/>
      <c r="R40" s="365"/>
      <c r="S40" s="424"/>
      <c r="T40" s="427"/>
      <c r="U40" s="366"/>
      <c r="V40" s="365"/>
      <c r="W40" s="365"/>
      <c r="X40" s="365"/>
      <c r="Y40" s="365"/>
      <c r="Z40" s="365"/>
      <c r="AA40" s="367"/>
      <c r="AB40" s="413" t="s">
        <v>320</v>
      </c>
      <c r="AC40" s="413"/>
      <c r="AD40" s="413"/>
      <c r="AE40" s="413"/>
      <c r="AF40" s="413"/>
      <c r="AG40" s="413"/>
      <c r="AH40" s="413"/>
      <c r="AI40" s="413"/>
      <c r="AJ40" s="413"/>
      <c r="AK40" s="566">
        <f>SUM(AM40:AT40)</f>
        <v>0</v>
      </c>
      <c r="AL40" s="567"/>
      <c r="AM40" s="349"/>
      <c r="AN40" s="350"/>
      <c r="AO40" s="351"/>
      <c r="AP40" s="351"/>
      <c r="AQ40" s="351"/>
      <c r="AR40" s="351"/>
      <c r="AS40" s="334"/>
      <c r="AT40" s="335"/>
      <c r="AU40" s="349"/>
      <c r="AV40" s="350"/>
      <c r="AW40" s="351"/>
      <c r="AX40" s="351"/>
      <c r="AY40" s="351"/>
      <c r="AZ40" s="351"/>
      <c r="BA40" s="334"/>
      <c r="BB40" s="335"/>
    </row>
    <row r="41" spans="1:54" ht="13.5" thickBot="1">
      <c r="A41" s="497" t="s">
        <v>94</v>
      </c>
      <c r="B41" s="485"/>
      <c r="C41" s="485"/>
      <c r="D41" s="485"/>
      <c r="E41" s="485"/>
      <c r="F41" s="485"/>
      <c r="G41" s="485"/>
      <c r="H41" s="485"/>
      <c r="I41" s="485"/>
      <c r="J41" s="485">
        <f t="shared" si="3"/>
        <v>0.05</v>
      </c>
      <c r="K41" s="486"/>
      <c r="L41" s="423"/>
      <c r="M41" s="365"/>
      <c r="N41" s="329">
        <v>0.05</v>
      </c>
      <c r="O41" s="329"/>
      <c r="P41" s="365"/>
      <c r="Q41" s="365"/>
      <c r="R41" s="365"/>
      <c r="S41" s="424"/>
      <c r="T41" s="515">
        <v>0.05</v>
      </c>
      <c r="U41" s="370"/>
      <c r="V41" s="366"/>
      <c r="W41" s="366"/>
      <c r="X41" s="365"/>
      <c r="Y41" s="365"/>
      <c r="Z41" s="365"/>
      <c r="AA41" s="367"/>
      <c r="AK41" s="348">
        <f>SUM(AK3:AL39)</f>
        <v>2.15</v>
      </c>
      <c r="AL41" s="324"/>
      <c r="AM41" s="348">
        <f>SUM(AM3:AN39)</f>
        <v>1</v>
      </c>
      <c r="AN41" s="323"/>
      <c r="AO41" s="323">
        <f>SUM(AO3:AP39)</f>
        <v>0.4</v>
      </c>
      <c r="AP41" s="323"/>
      <c r="AQ41" s="323">
        <f>SUM(AQ3:AR39)</f>
        <v>0.5</v>
      </c>
      <c r="AR41" s="323"/>
      <c r="AS41" s="323">
        <f>SUM(AS3:AT39)</f>
        <v>0.24999999999999997</v>
      </c>
      <c r="AT41" s="324"/>
      <c r="AU41" s="348">
        <f>SUM(AU3:AV39)</f>
        <v>1.15</v>
      </c>
      <c r="AV41" s="323"/>
      <c r="AW41" s="323">
        <f>SUM(AW3:AX39)</f>
        <v>0.15000000000000002</v>
      </c>
      <c r="AX41" s="323"/>
      <c r="AY41" s="323">
        <f>SUM(AY3:AZ39)</f>
        <v>0.44999999999999996</v>
      </c>
      <c r="AZ41" s="323"/>
      <c r="BA41" s="323">
        <f>SUM(BA3:BB39)</f>
        <v>0.19999999999999998</v>
      </c>
      <c r="BB41" s="324"/>
    </row>
    <row r="42" spans="1:54" ht="12.75">
      <c r="A42" s="497" t="s">
        <v>96</v>
      </c>
      <c r="B42" s="485"/>
      <c r="C42" s="485"/>
      <c r="D42" s="485"/>
      <c r="E42" s="485"/>
      <c r="F42" s="485"/>
      <c r="G42" s="485"/>
      <c r="H42" s="485"/>
      <c r="I42" s="485"/>
      <c r="J42" s="485">
        <f t="shared" si="3"/>
        <v>0.05</v>
      </c>
      <c r="K42" s="486"/>
      <c r="L42" s="423"/>
      <c r="M42" s="365"/>
      <c r="N42" s="365"/>
      <c r="O42" s="365"/>
      <c r="P42" s="365"/>
      <c r="Q42" s="365"/>
      <c r="R42" s="329">
        <v>0.05</v>
      </c>
      <c r="S42" s="534"/>
      <c r="T42" s="426"/>
      <c r="U42" s="365"/>
      <c r="V42" s="370">
        <v>0.05</v>
      </c>
      <c r="W42" s="370"/>
      <c r="X42" s="365"/>
      <c r="Y42" s="365"/>
      <c r="Z42" s="366"/>
      <c r="AA42" s="517"/>
      <c r="AM42" s="325">
        <f>SUM(AM41:AT41)</f>
        <v>2.15</v>
      </c>
      <c r="AN42" s="325"/>
      <c r="AO42" s="325"/>
      <c r="AP42" s="325"/>
      <c r="AQ42" s="325"/>
      <c r="AR42" s="325"/>
      <c r="AS42" s="325"/>
      <c r="AT42" s="325"/>
      <c r="AU42" s="325">
        <f>SUM(AU41:BB41)</f>
        <v>1.9499999999999997</v>
      </c>
      <c r="AV42" s="325"/>
      <c r="AW42" s="325"/>
      <c r="AX42" s="325"/>
      <c r="AY42" s="325"/>
      <c r="AZ42" s="325"/>
      <c r="BA42" s="325"/>
      <c r="BB42" s="325"/>
    </row>
    <row r="43" spans="1:33" ht="13.5" thickBot="1">
      <c r="A43" s="535" t="s">
        <v>120</v>
      </c>
      <c r="B43" s="536"/>
      <c r="C43" s="536"/>
      <c r="D43" s="536"/>
      <c r="E43" s="536"/>
      <c r="F43" s="536"/>
      <c r="G43" s="536"/>
      <c r="H43" s="536"/>
      <c r="I43" s="536"/>
      <c r="J43" s="536">
        <v>0.025</v>
      </c>
      <c r="K43" s="537"/>
      <c r="L43" s="443"/>
      <c r="M43" s="382"/>
      <c r="N43" s="538">
        <v>0.025</v>
      </c>
      <c r="O43" s="538"/>
      <c r="P43" s="382"/>
      <c r="Q43" s="382"/>
      <c r="R43" s="459"/>
      <c r="S43" s="541"/>
      <c r="T43" s="446"/>
      <c r="U43" s="382"/>
      <c r="V43" s="362"/>
      <c r="W43" s="362"/>
      <c r="X43" s="382"/>
      <c r="Y43" s="382"/>
      <c r="Z43" s="545">
        <v>0.025</v>
      </c>
      <c r="AA43" s="546"/>
      <c r="AG43" t="s">
        <v>211</v>
      </c>
    </row>
    <row r="44" spans="1:27" ht="13.5" thickBot="1">
      <c r="A44" s="466" t="s">
        <v>214</v>
      </c>
      <c r="B44" s="466"/>
      <c r="C44" s="466"/>
      <c r="D44" s="466"/>
      <c r="E44" s="466"/>
      <c r="F44" s="466"/>
      <c r="G44" s="466"/>
      <c r="H44" s="466"/>
      <c r="I44" s="466"/>
      <c r="J44" s="468">
        <f>SUM(J31:K43)</f>
        <v>0.325</v>
      </c>
      <c r="K44" s="469"/>
      <c r="L44" s="468">
        <f>SUM(L31:M43)</f>
        <v>0.15000000000000002</v>
      </c>
      <c r="M44" s="469"/>
      <c r="N44" s="468">
        <f>SUM(N31:O43)</f>
        <v>0.125</v>
      </c>
      <c r="O44" s="469"/>
      <c r="P44" s="468">
        <f>SUM(P31:Q43)</f>
        <v>0</v>
      </c>
      <c r="Q44" s="469"/>
      <c r="R44" s="468">
        <f>SUM(R31:S43)</f>
        <v>0.05</v>
      </c>
      <c r="S44" s="469"/>
      <c r="T44" s="468">
        <f>SUM(T31:U43)</f>
        <v>0.1</v>
      </c>
      <c r="U44" s="469"/>
      <c r="V44" s="468">
        <f>SUM(V31:W43)</f>
        <v>0.05</v>
      </c>
      <c r="W44" s="469"/>
      <c r="X44" s="468">
        <f>SUM(X31:Y43)</f>
        <v>0</v>
      </c>
      <c r="Y44" s="469"/>
      <c r="Z44" s="468">
        <f>SUM(Z31:AA43)</f>
        <v>0.025</v>
      </c>
      <c r="AA44" s="550"/>
    </row>
    <row r="45" spans="1:27" ht="13.5" thickBot="1">
      <c r="A45" s="467"/>
      <c r="B45" s="467"/>
      <c r="C45" s="467"/>
      <c r="D45" s="467"/>
      <c r="E45" s="467"/>
      <c r="F45" s="467"/>
      <c r="G45" s="467"/>
      <c r="H45" s="467"/>
      <c r="I45" s="467"/>
      <c r="L45" s="540">
        <f>SUM(L44:S44)</f>
        <v>0.325</v>
      </c>
      <c r="M45" s="540"/>
      <c r="N45" s="540"/>
      <c r="O45" s="540"/>
      <c r="P45" s="540"/>
      <c r="Q45" s="540"/>
      <c r="R45" s="540"/>
      <c r="S45" s="540"/>
      <c r="T45" s="540">
        <f>SUM(T44:AA44)</f>
        <v>0.17500000000000002</v>
      </c>
      <c r="U45" s="540"/>
      <c r="V45" s="540"/>
      <c r="W45" s="540"/>
      <c r="X45" s="540"/>
      <c r="Y45" s="540"/>
      <c r="Z45" s="540"/>
      <c r="AA45" s="540"/>
    </row>
    <row r="46" spans="1:31" ht="12.75">
      <c r="A46" s="505" t="s">
        <v>171</v>
      </c>
      <c r="B46" s="506"/>
      <c r="C46" s="506"/>
      <c r="D46" s="506"/>
      <c r="E46" s="506"/>
      <c r="F46" s="506"/>
      <c r="G46" s="506"/>
      <c r="H46" s="506"/>
      <c r="I46" s="506"/>
      <c r="J46" s="506"/>
      <c r="K46" s="507"/>
      <c r="L46" s="390" t="s">
        <v>118</v>
      </c>
      <c r="M46" s="325"/>
      <c r="N46" s="325"/>
      <c r="O46" s="325"/>
      <c r="P46" s="325"/>
      <c r="Q46" s="325"/>
      <c r="R46" s="325"/>
      <c r="S46" s="391"/>
      <c r="T46" s="390" t="s">
        <v>119</v>
      </c>
      <c r="U46" s="325"/>
      <c r="V46" s="325"/>
      <c r="W46" s="325"/>
      <c r="X46" s="325"/>
      <c r="Y46" s="325"/>
      <c r="Z46" s="325"/>
      <c r="AA46" s="391"/>
      <c r="AE46" t="s">
        <v>121</v>
      </c>
    </row>
    <row r="47" spans="1:27" ht="13.5" thickBot="1">
      <c r="A47" s="392" t="s">
        <v>156</v>
      </c>
      <c r="B47" s="393"/>
      <c r="C47" s="393"/>
      <c r="D47" s="393"/>
      <c r="E47" s="393"/>
      <c r="F47" s="393"/>
      <c r="G47" s="393"/>
      <c r="H47" s="393"/>
      <c r="I47" s="393"/>
      <c r="J47" s="393" t="s">
        <v>33</v>
      </c>
      <c r="K47" s="394"/>
      <c r="L47" s="392" t="s">
        <v>117</v>
      </c>
      <c r="M47" s="393"/>
      <c r="N47" s="393" t="s">
        <v>113</v>
      </c>
      <c r="O47" s="393"/>
      <c r="P47" s="393" t="s">
        <v>114</v>
      </c>
      <c r="Q47" s="393"/>
      <c r="R47" s="393" t="s">
        <v>115</v>
      </c>
      <c r="S47" s="394"/>
      <c r="T47" s="392" t="s">
        <v>117</v>
      </c>
      <c r="U47" s="393"/>
      <c r="V47" s="393" t="s">
        <v>113</v>
      </c>
      <c r="W47" s="393"/>
      <c r="X47" s="393" t="s">
        <v>114</v>
      </c>
      <c r="Y47" s="393"/>
      <c r="Z47" s="393" t="s">
        <v>115</v>
      </c>
      <c r="AA47" s="394"/>
    </row>
    <row r="48" spans="1:31" ht="12.75">
      <c r="A48" s="451" t="s">
        <v>95</v>
      </c>
      <c r="B48" s="452"/>
      <c r="C48" s="452"/>
      <c r="D48" s="452"/>
      <c r="E48" s="452"/>
      <c r="F48" s="452"/>
      <c r="G48" s="452"/>
      <c r="H48" s="452"/>
      <c r="I48" s="547"/>
      <c r="J48" s="453">
        <f aca="true" t="shared" si="4" ref="J48:J60">SUM(L48:S48)</f>
        <v>0.05</v>
      </c>
      <c r="K48" s="454"/>
      <c r="L48" s="405"/>
      <c r="M48" s="406"/>
      <c r="N48" s="548">
        <v>0.05</v>
      </c>
      <c r="O48" s="549"/>
      <c r="P48" s="455"/>
      <c r="Q48" s="406"/>
      <c r="R48" s="455"/>
      <c r="S48" s="456"/>
      <c r="T48" s="405"/>
      <c r="U48" s="406"/>
      <c r="V48" s="551"/>
      <c r="W48" s="504"/>
      <c r="X48" s="552">
        <v>0.05</v>
      </c>
      <c r="Y48" s="553"/>
      <c r="Z48" s="455"/>
      <c r="AA48" s="456"/>
      <c r="AE48" t="s">
        <v>122</v>
      </c>
    </row>
    <row r="49" spans="1:31" ht="12.75">
      <c r="A49" s="447" t="s">
        <v>111</v>
      </c>
      <c r="B49" s="420"/>
      <c r="C49" s="420"/>
      <c r="D49" s="420"/>
      <c r="E49" s="420"/>
      <c r="F49" s="420"/>
      <c r="G49" s="420"/>
      <c r="H49" s="420"/>
      <c r="I49" s="554"/>
      <c r="J49" s="419">
        <f t="shared" si="4"/>
        <v>0.05</v>
      </c>
      <c r="K49" s="421"/>
      <c r="L49" s="422"/>
      <c r="M49" s="423"/>
      <c r="N49" s="424"/>
      <c r="O49" s="423"/>
      <c r="P49" s="424"/>
      <c r="Q49" s="423"/>
      <c r="R49" s="534">
        <v>0.05</v>
      </c>
      <c r="S49" s="555"/>
      <c r="T49" s="422"/>
      <c r="U49" s="423"/>
      <c r="V49" s="556">
        <v>0.05</v>
      </c>
      <c r="W49" s="557"/>
      <c r="X49" s="424"/>
      <c r="Y49" s="423"/>
      <c r="Z49" s="496"/>
      <c r="AA49" s="558"/>
      <c r="AE49" t="s">
        <v>123</v>
      </c>
    </row>
    <row r="50" spans="1:31" ht="12.75">
      <c r="A50" s="447" t="s">
        <v>97</v>
      </c>
      <c r="B50" s="420"/>
      <c r="C50" s="420"/>
      <c r="D50" s="420"/>
      <c r="E50" s="420"/>
      <c r="F50" s="420"/>
      <c r="G50" s="420"/>
      <c r="H50" s="420"/>
      <c r="I50" s="554"/>
      <c r="J50" s="419">
        <f t="shared" si="4"/>
        <v>0.05</v>
      </c>
      <c r="K50" s="421"/>
      <c r="L50" s="422"/>
      <c r="M50" s="423"/>
      <c r="N50" s="534">
        <v>0.05</v>
      </c>
      <c r="O50" s="448"/>
      <c r="P50" s="424"/>
      <c r="Q50" s="423"/>
      <c r="R50" s="424"/>
      <c r="S50" s="425"/>
      <c r="T50" s="422"/>
      <c r="U50" s="423"/>
      <c r="V50" s="496"/>
      <c r="W50" s="482"/>
      <c r="X50" s="556">
        <v>0.05</v>
      </c>
      <c r="Y50" s="557"/>
      <c r="Z50" s="424"/>
      <c r="AA50" s="425"/>
      <c r="AE50" t="s">
        <v>124</v>
      </c>
    </row>
    <row r="51" spans="1:27" ht="12.75">
      <c r="A51" s="470" t="s">
        <v>208</v>
      </c>
      <c r="B51" s="471"/>
      <c r="C51" s="471"/>
      <c r="D51" s="471"/>
      <c r="E51" s="471"/>
      <c r="F51" s="471"/>
      <c r="G51" s="471"/>
      <c r="H51" s="471"/>
      <c r="I51" s="472"/>
      <c r="J51" s="419">
        <f>SUM(L51:S51)</f>
        <v>0.05</v>
      </c>
      <c r="K51" s="421"/>
      <c r="L51" s="422"/>
      <c r="M51" s="423"/>
      <c r="N51" s="424"/>
      <c r="O51" s="423"/>
      <c r="P51" s="496">
        <v>0.05</v>
      </c>
      <c r="Q51" s="482"/>
      <c r="R51" s="424"/>
      <c r="S51" s="425"/>
      <c r="T51" s="422"/>
      <c r="U51" s="423"/>
      <c r="V51" s="424"/>
      <c r="W51" s="423"/>
      <c r="X51" s="496"/>
      <c r="Y51" s="482"/>
      <c r="Z51" s="424"/>
      <c r="AA51" s="425"/>
    </row>
    <row r="52" spans="1:27" ht="12.75">
      <c r="A52" s="447" t="s">
        <v>98</v>
      </c>
      <c r="B52" s="420"/>
      <c r="C52" s="420"/>
      <c r="D52" s="420"/>
      <c r="E52" s="420"/>
      <c r="F52" s="420"/>
      <c r="G52" s="420"/>
      <c r="H52" s="420"/>
      <c r="I52" s="554"/>
      <c r="J52" s="419">
        <f t="shared" si="4"/>
        <v>0.1</v>
      </c>
      <c r="K52" s="421"/>
      <c r="L52" s="422"/>
      <c r="M52" s="423"/>
      <c r="N52" s="424"/>
      <c r="O52" s="423"/>
      <c r="P52" s="496">
        <v>0.1</v>
      </c>
      <c r="Q52" s="482"/>
      <c r="R52" s="424"/>
      <c r="S52" s="425"/>
      <c r="T52" s="422"/>
      <c r="U52" s="423"/>
      <c r="V52" s="424"/>
      <c r="W52" s="423"/>
      <c r="X52" s="496"/>
      <c r="Y52" s="482"/>
      <c r="Z52" s="424"/>
      <c r="AA52" s="425"/>
    </row>
    <row r="53" spans="1:27" ht="12.75">
      <c r="A53" s="447" t="s">
        <v>112</v>
      </c>
      <c r="B53" s="420"/>
      <c r="C53" s="420"/>
      <c r="D53" s="420"/>
      <c r="E53" s="420"/>
      <c r="F53" s="420"/>
      <c r="G53" s="420"/>
      <c r="H53" s="420"/>
      <c r="I53" s="554"/>
      <c r="J53" s="419">
        <f t="shared" si="4"/>
        <v>0.05</v>
      </c>
      <c r="K53" s="421"/>
      <c r="L53" s="422"/>
      <c r="M53" s="423"/>
      <c r="N53" s="424"/>
      <c r="O53" s="423"/>
      <c r="P53" s="424"/>
      <c r="Q53" s="423"/>
      <c r="R53" s="534">
        <v>0.05</v>
      </c>
      <c r="S53" s="555"/>
      <c r="T53" s="422"/>
      <c r="U53" s="423"/>
      <c r="V53" s="424"/>
      <c r="W53" s="423"/>
      <c r="X53" s="556">
        <v>0.05</v>
      </c>
      <c r="Y53" s="557"/>
      <c r="Z53" s="496"/>
      <c r="AA53" s="558"/>
    </row>
    <row r="54" spans="1:31" ht="12.75">
      <c r="A54" s="447" t="s">
        <v>101</v>
      </c>
      <c r="B54" s="420"/>
      <c r="C54" s="420"/>
      <c r="D54" s="420"/>
      <c r="E54" s="420"/>
      <c r="F54" s="420"/>
      <c r="G54" s="420"/>
      <c r="H54" s="420"/>
      <c r="I54" s="554"/>
      <c r="J54" s="419">
        <f t="shared" si="4"/>
        <v>0.1</v>
      </c>
      <c r="K54" s="421"/>
      <c r="L54" s="422"/>
      <c r="M54" s="423"/>
      <c r="N54" s="424"/>
      <c r="O54" s="423"/>
      <c r="P54" s="496">
        <v>0.1</v>
      </c>
      <c r="Q54" s="482"/>
      <c r="R54" s="424"/>
      <c r="S54" s="425"/>
      <c r="T54" s="422"/>
      <c r="U54" s="423"/>
      <c r="V54" s="424"/>
      <c r="W54" s="423"/>
      <c r="X54" s="496"/>
      <c r="Y54" s="482"/>
      <c r="Z54" s="424"/>
      <c r="AA54" s="425"/>
      <c r="AE54" t="s">
        <v>166</v>
      </c>
    </row>
    <row r="55" spans="1:31" ht="12.75">
      <c r="A55" s="447" t="s">
        <v>102</v>
      </c>
      <c r="B55" s="420"/>
      <c r="C55" s="420"/>
      <c r="D55" s="420"/>
      <c r="E55" s="420"/>
      <c r="F55" s="420"/>
      <c r="G55" s="420"/>
      <c r="H55" s="420"/>
      <c r="I55" s="554"/>
      <c r="J55" s="419">
        <f t="shared" si="4"/>
        <v>0.1</v>
      </c>
      <c r="K55" s="421"/>
      <c r="L55" s="422"/>
      <c r="M55" s="423"/>
      <c r="N55" s="559">
        <v>0.1</v>
      </c>
      <c r="O55" s="374"/>
      <c r="P55" s="424"/>
      <c r="Q55" s="423"/>
      <c r="R55" s="424"/>
      <c r="S55" s="425"/>
      <c r="T55" s="422"/>
      <c r="U55" s="423"/>
      <c r="V55" s="496"/>
      <c r="W55" s="482"/>
      <c r="X55" s="556">
        <v>0.1</v>
      </c>
      <c r="Y55" s="557"/>
      <c r="Z55" s="424"/>
      <c r="AA55" s="425"/>
      <c r="AE55" t="s">
        <v>162</v>
      </c>
    </row>
    <row r="56" spans="1:31" ht="12.75">
      <c r="A56" s="447" t="s">
        <v>103</v>
      </c>
      <c r="B56" s="420"/>
      <c r="C56" s="420"/>
      <c r="D56" s="420"/>
      <c r="E56" s="420"/>
      <c r="F56" s="420"/>
      <c r="G56" s="420"/>
      <c r="H56" s="420"/>
      <c r="I56" s="554"/>
      <c r="J56" s="419">
        <f t="shared" si="4"/>
        <v>0.1</v>
      </c>
      <c r="K56" s="421"/>
      <c r="L56" s="422"/>
      <c r="M56" s="423"/>
      <c r="N56" s="424"/>
      <c r="O56" s="423"/>
      <c r="P56" s="496">
        <v>0.1</v>
      </c>
      <c r="Q56" s="482"/>
      <c r="R56" s="424"/>
      <c r="S56" s="425"/>
      <c r="T56" s="560"/>
      <c r="U56" s="557"/>
      <c r="V56" s="424"/>
      <c r="W56" s="423"/>
      <c r="X56" s="496"/>
      <c r="Y56" s="482"/>
      <c r="Z56" s="424"/>
      <c r="AA56" s="425"/>
      <c r="AE56" t="s">
        <v>163</v>
      </c>
    </row>
    <row r="57" spans="1:31" ht="12.75">
      <c r="A57" s="447" t="s">
        <v>120</v>
      </c>
      <c r="B57" s="420"/>
      <c r="C57" s="420"/>
      <c r="D57" s="420"/>
      <c r="E57" s="420"/>
      <c r="F57" s="420"/>
      <c r="G57" s="420"/>
      <c r="H57" s="420"/>
      <c r="I57" s="554"/>
      <c r="J57" s="419">
        <v>0.025</v>
      </c>
      <c r="K57" s="421"/>
      <c r="L57" s="422"/>
      <c r="M57" s="423"/>
      <c r="N57" s="372">
        <v>0.025</v>
      </c>
      <c r="O57" s="354"/>
      <c r="P57" s="424"/>
      <c r="Q57" s="423"/>
      <c r="R57" s="534"/>
      <c r="S57" s="555"/>
      <c r="T57" s="422"/>
      <c r="U57" s="423"/>
      <c r="V57" s="556"/>
      <c r="W57" s="557"/>
      <c r="X57" s="424"/>
      <c r="Y57" s="423"/>
      <c r="Z57" s="561">
        <v>0.025</v>
      </c>
      <c r="AA57" s="562"/>
      <c r="AE57" t="s">
        <v>164</v>
      </c>
    </row>
    <row r="58" spans="1:31" ht="12.75">
      <c r="A58" s="447" t="s">
        <v>104</v>
      </c>
      <c r="B58" s="420"/>
      <c r="C58" s="420"/>
      <c r="D58" s="420"/>
      <c r="E58" s="420"/>
      <c r="F58" s="420"/>
      <c r="G58" s="420"/>
      <c r="H58" s="420"/>
      <c r="I58" s="554"/>
      <c r="J58" s="419">
        <f t="shared" si="4"/>
        <v>0.1</v>
      </c>
      <c r="K58" s="421"/>
      <c r="L58" s="422"/>
      <c r="M58" s="423"/>
      <c r="N58" s="424"/>
      <c r="O58" s="423"/>
      <c r="P58" s="496">
        <v>0.1</v>
      </c>
      <c r="Q58" s="482"/>
      <c r="R58" s="424"/>
      <c r="S58" s="425"/>
      <c r="T58" s="422"/>
      <c r="U58" s="423"/>
      <c r="V58" s="424"/>
      <c r="W58" s="423"/>
      <c r="X58" s="496"/>
      <c r="Y58" s="482"/>
      <c r="Z58" s="424"/>
      <c r="AA58" s="425"/>
      <c r="AE58" t="s">
        <v>165</v>
      </c>
    </row>
    <row r="59" spans="1:27" ht="12.75">
      <c r="A59" s="447" t="s">
        <v>105</v>
      </c>
      <c r="B59" s="420"/>
      <c r="C59" s="420"/>
      <c r="D59" s="420"/>
      <c r="E59" s="420"/>
      <c r="F59" s="420"/>
      <c r="G59" s="420"/>
      <c r="H59" s="420"/>
      <c r="I59" s="554"/>
      <c r="J59" s="419">
        <f t="shared" si="4"/>
        <v>0.05</v>
      </c>
      <c r="K59" s="421"/>
      <c r="L59" s="422"/>
      <c r="M59" s="423"/>
      <c r="N59" s="424"/>
      <c r="O59" s="423"/>
      <c r="P59" s="534">
        <v>0.05</v>
      </c>
      <c r="Q59" s="448"/>
      <c r="R59" s="424"/>
      <c r="S59" s="425"/>
      <c r="T59" s="422"/>
      <c r="U59" s="423"/>
      <c r="V59" s="424"/>
      <c r="W59" s="423"/>
      <c r="X59" s="496"/>
      <c r="Y59" s="482"/>
      <c r="Z59" s="556">
        <v>0.05</v>
      </c>
      <c r="AA59" s="565"/>
    </row>
    <row r="60" spans="1:27" ht="12.75">
      <c r="A60" s="447" t="s">
        <v>108</v>
      </c>
      <c r="B60" s="420"/>
      <c r="C60" s="420"/>
      <c r="D60" s="420"/>
      <c r="E60" s="420"/>
      <c r="F60" s="420"/>
      <c r="G60" s="420"/>
      <c r="H60" s="420"/>
      <c r="I60" s="554"/>
      <c r="J60" s="419">
        <f t="shared" si="4"/>
        <v>0.05</v>
      </c>
      <c r="K60" s="421"/>
      <c r="L60" s="422"/>
      <c r="M60" s="423"/>
      <c r="N60" s="424"/>
      <c r="O60" s="423"/>
      <c r="P60" s="534">
        <v>0.05</v>
      </c>
      <c r="Q60" s="448"/>
      <c r="R60" s="424"/>
      <c r="S60" s="425"/>
      <c r="T60" s="422"/>
      <c r="U60" s="423"/>
      <c r="V60" s="424"/>
      <c r="W60" s="423"/>
      <c r="X60" s="496"/>
      <c r="Y60" s="482"/>
      <c r="Z60" s="556">
        <v>0.05</v>
      </c>
      <c r="AA60" s="565"/>
    </row>
    <row r="61" spans="1:27" ht="12.75">
      <c r="A61" s="447" t="s">
        <v>120</v>
      </c>
      <c r="B61" s="420"/>
      <c r="C61" s="420"/>
      <c r="D61" s="420"/>
      <c r="E61" s="420"/>
      <c r="F61" s="420"/>
      <c r="G61" s="420"/>
      <c r="H61" s="420"/>
      <c r="I61" s="554"/>
      <c r="J61" s="473">
        <f>SUM(L61:S61)</f>
        <v>0.025</v>
      </c>
      <c r="K61" s="474"/>
      <c r="L61" s="475"/>
      <c r="M61" s="476"/>
      <c r="N61" s="477">
        <v>0.025</v>
      </c>
      <c r="O61" s="478"/>
      <c r="P61" s="479"/>
      <c r="Q61" s="480"/>
      <c r="R61" s="479"/>
      <c r="S61" s="481"/>
      <c r="T61" s="475"/>
      <c r="U61" s="476"/>
      <c r="V61" s="479"/>
      <c r="W61" s="480"/>
      <c r="X61" s="479"/>
      <c r="Y61" s="480"/>
      <c r="Z61" s="563">
        <v>0.025</v>
      </c>
      <c r="AA61" s="564"/>
    </row>
    <row r="62" spans="1:27" ht="13.5" thickBot="1">
      <c r="A62" s="470" t="s">
        <v>220</v>
      </c>
      <c r="B62" s="471"/>
      <c r="C62" s="471"/>
      <c r="D62" s="471"/>
      <c r="E62" s="471"/>
      <c r="F62" s="471"/>
      <c r="G62" s="471"/>
      <c r="H62" s="471"/>
      <c r="I62" s="472"/>
      <c r="J62" s="473">
        <f>SUM(L62:S62)</f>
        <v>0.025</v>
      </c>
      <c r="K62" s="474"/>
      <c r="L62" s="475"/>
      <c r="M62" s="476"/>
      <c r="N62" s="477">
        <v>0.025</v>
      </c>
      <c r="O62" s="478"/>
      <c r="P62" s="479"/>
      <c r="Q62" s="480"/>
      <c r="R62" s="479"/>
      <c r="S62" s="481"/>
      <c r="T62" s="475"/>
      <c r="U62" s="476"/>
      <c r="V62" s="479"/>
      <c r="W62" s="480"/>
      <c r="X62" s="479">
        <v>0.025</v>
      </c>
      <c r="Y62" s="480"/>
      <c r="Z62" s="563"/>
      <c r="AA62" s="564"/>
    </row>
    <row r="63" spans="10:27" ht="13.5" thickBot="1">
      <c r="J63" s="468">
        <f>SUM(J48:K62)</f>
        <v>0.9250000000000002</v>
      </c>
      <c r="K63" s="469"/>
      <c r="L63" s="468">
        <f>SUM(L48:M62)</f>
        <v>0</v>
      </c>
      <c r="M63" s="469"/>
      <c r="N63" s="468">
        <f>SUM(N48:O62)</f>
        <v>0.275</v>
      </c>
      <c r="O63" s="469"/>
      <c r="P63" s="468">
        <f>SUM(P48:Q62)</f>
        <v>0.5499999999999999</v>
      </c>
      <c r="Q63" s="469"/>
      <c r="R63" s="468">
        <f>SUM(R48:S62)</f>
        <v>0.1</v>
      </c>
      <c r="S63" s="469"/>
      <c r="T63" s="468">
        <f>SUM(T48:U62)</f>
        <v>0</v>
      </c>
      <c r="U63" s="469"/>
      <c r="V63" s="468">
        <f>SUM(V48:W62)</f>
        <v>0.05</v>
      </c>
      <c r="W63" s="469"/>
      <c r="X63" s="468">
        <f>SUM(X48:Y62)</f>
        <v>0.275</v>
      </c>
      <c r="Y63" s="469"/>
      <c r="Z63" s="468">
        <f>SUM(Z48:AA62)</f>
        <v>0.15</v>
      </c>
      <c r="AA63" s="469"/>
    </row>
    <row r="64" spans="12:27" ht="13.5" thickBot="1">
      <c r="L64" s="325">
        <f>SUM(L63:S63)</f>
        <v>0.9249999999999999</v>
      </c>
      <c r="M64" s="325"/>
      <c r="N64" s="325"/>
      <c r="O64" s="325"/>
      <c r="P64" s="325"/>
      <c r="Q64" s="325"/>
      <c r="R64" s="325"/>
      <c r="S64" s="325"/>
      <c r="T64" s="325">
        <f>SUM(T63:AA63)</f>
        <v>0.475</v>
      </c>
      <c r="U64" s="325"/>
      <c r="V64" s="325"/>
      <c r="W64" s="325"/>
      <c r="X64" s="325"/>
      <c r="Y64" s="325"/>
      <c r="Z64" s="325"/>
      <c r="AA64" s="325"/>
    </row>
    <row r="65" spans="1:27" ht="12.75">
      <c r="A65" s="505" t="s">
        <v>172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7"/>
      <c r="L65" s="390" t="s">
        <v>118</v>
      </c>
      <c r="M65" s="325"/>
      <c r="N65" s="325"/>
      <c r="O65" s="325"/>
      <c r="P65" s="325"/>
      <c r="Q65" s="325"/>
      <c r="R65" s="325"/>
      <c r="S65" s="391"/>
      <c r="T65" s="390" t="s">
        <v>119</v>
      </c>
      <c r="U65" s="325"/>
      <c r="V65" s="325"/>
      <c r="W65" s="325"/>
      <c r="X65" s="325"/>
      <c r="Y65" s="325"/>
      <c r="Z65" s="325"/>
      <c r="AA65" s="391"/>
    </row>
    <row r="66" spans="1:27" ht="13.5" thickBot="1">
      <c r="A66" s="392" t="s">
        <v>156</v>
      </c>
      <c r="B66" s="393"/>
      <c r="C66" s="393"/>
      <c r="D66" s="393"/>
      <c r="E66" s="393"/>
      <c r="F66" s="393"/>
      <c r="G66" s="393"/>
      <c r="H66" s="393"/>
      <c r="I66" s="393"/>
      <c r="J66" s="393" t="s">
        <v>33</v>
      </c>
      <c r="K66" s="394"/>
      <c r="L66" s="392" t="s">
        <v>117</v>
      </c>
      <c r="M66" s="393"/>
      <c r="N66" s="393" t="s">
        <v>113</v>
      </c>
      <c r="O66" s="393"/>
      <c r="P66" s="393" t="s">
        <v>114</v>
      </c>
      <c r="Q66" s="393"/>
      <c r="R66" s="393" t="s">
        <v>115</v>
      </c>
      <c r="S66" s="394"/>
      <c r="T66" s="392" t="s">
        <v>117</v>
      </c>
      <c r="U66" s="393"/>
      <c r="V66" s="393" t="s">
        <v>113</v>
      </c>
      <c r="W66" s="393"/>
      <c r="X66" s="393" t="s">
        <v>114</v>
      </c>
      <c r="Y66" s="393"/>
      <c r="Z66" s="393" t="s">
        <v>115</v>
      </c>
      <c r="AA66" s="394"/>
    </row>
    <row r="67" spans="1:27" ht="12.75">
      <c r="A67" s="419" t="s">
        <v>88</v>
      </c>
      <c r="B67" s="420"/>
      <c r="C67" s="420"/>
      <c r="D67" s="420"/>
      <c r="E67" s="420"/>
      <c r="F67" s="420"/>
      <c r="G67" s="420"/>
      <c r="H67" s="420"/>
      <c r="I67" s="420"/>
      <c r="J67" s="485">
        <f aca="true" t="shared" si="5" ref="J67:J81">SUM(L67:S67)</f>
        <v>0.1</v>
      </c>
      <c r="K67" s="419"/>
      <c r="L67" s="427">
        <v>0.1</v>
      </c>
      <c r="M67" s="366"/>
      <c r="N67" s="365"/>
      <c r="O67" s="365"/>
      <c r="P67" s="365"/>
      <c r="Q67" s="365"/>
      <c r="R67" s="365"/>
      <c r="S67" s="367"/>
      <c r="T67" s="427"/>
      <c r="U67" s="366"/>
      <c r="V67" s="365"/>
      <c r="W67" s="365"/>
      <c r="X67" s="365"/>
      <c r="Y67" s="365"/>
      <c r="Z67" s="365"/>
      <c r="AA67" s="367"/>
    </row>
    <row r="68" spans="1:27" ht="12.75">
      <c r="A68" s="419" t="s">
        <v>110</v>
      </c>
      <c r="B68" s="420"/>
      <c r="C68" s="420"/>
      <c r="D68" s="420"/>
      <c r="E68" s="420"/>
      <c r="F68" s="420"/>
      <c r="G68" s="420"/>
      <c r="H68" s="420"/>
      <c r="I68" s="420"/>
      <c r="J68" s="485">
        <f t="shared" si="5"/>
        <v>0.025</v>
      </c>
      <c r="K68" s="419"/>
      <c r="L68" s="426"/>
      <c r="M68" s="365"/>
      <c r="N68" s="424"/>
      <c r="O68" s="423"/>
      <c r="P68" s="365"/>
      <c r="Q68" s="365"/>
      <c r="R68" s="329">
        <v>0.025</v>
      </c>
      <c r="S68" s="343"/>
      <c r="T68" s="515">
        <v>0.025</v>
      </c>
      <c r="U68" s="370"/>
      <c r="V68" s="424"/>
      <c r="W68" s="423"/>
      <c r="X68" s="365"/>
      <c r="Y68" s="365"/>
      <c r="Z68" s="366"/>
      <c r="AA68" s="517"/>
    </row>
    <row r="69" spans="1:27" ht="12.75">
      <c r="A69" s="419" t="s">
        <v>89</v>
      </c>
      <c r="B69" s="420"/>
      <c r="C69" s="420"/>
      <c r="D69" s="420"/>
      <c r="E69" s="420"/>
      <c r="F69" s="420"/>
      <c r="G69" s="420"/>
      <c r="H69" s="420"/>
      <c r="I69" s="420"/>
      <c r="J69" s="485">
        <f t="shared" si="5"/>
        <v>0.05</v>
      </c>
      <c r="K69" s="419"/>
      <c r="L69" s="426"/>
      <c r="M69" s="365"/>
      <c r="N69" s="365"/>
      <c r="O69" s="365"/>
      <c r="P69" s="365"/>
      <c r="Q69" s="365"/>
      <c r="R69" s="329">
        <v>0.05</v>
      </c>
      <c r="S69" s="343"/>
      <c r="T69" s="426"/>
      <c r="U69" s="365"/>
      <c r="V69" s="370">
        <v>0.05</v>
      </c>
      <c r="W69" s="370"/>
      <c r="X69" s="365"/>
      <c r="Y69" s="365"/>
      <c r="Z69" s="366"/>
      <c r="AA69" s="517"/>
    </row>
    <row r="70" spans="1:27" ht="12.75">
      <c r="A70" s="419" t="s">
        <v>120</v>
      </c>
      <c r="B70" s="420"/>
      <c r="C70" s="420"/>
      <c r="D70" s="420"/>
      <c r="E70" s="420"/>
      <c r="F70" s="420"/>
      <c r="G70" s="420"/>
      <c r="H70" s="420"/>
      <c r="I70" s="420"/>
      <c r="J70" s="485">
        <v>0.025</v>
      </c>
      <c r="K70" s="419"/>
      <c r="L70" s="426"/>
      <c r="M70" s="365"/>
      <c r="N70" s="328">
        <v>0.025</v>
      </c>
      <c r="O70" s="328"/>
      <c r="P70" s="365"/>
      <c r="Q70" s="365"/>
      <c r="R70" s="329"/>
      <c r="S70" s="343"/>
      <c r="T70" s="426"/>
      <c r="U70" s="365"/>
      <c r="V70" s="370"/>
      <c r="W70" s="370"/>
      <c r="X70" s="365"/>
      <c r="Y70" s="365"/>
      <c r="Z70" s="371">
        <v>0.025</v>
      </c>
      <c r="AA70" s="542"/>
    </row>
    <row r="71" spans="1:27" ht="12.75">
      <c r="A71" s="419" t="s">
        <v>96</v>
      </c>
      <c r="B71" s="420"/>
      <c r="C71" s="420"/>
      <c r="D71" s="420"/>
      <c r="E71" s="420"/>
      <c r="F71" s="420"/>
      <c r="G71" s="420"/>
      <c r="H71" s="420"/>
      <c r="I71" s="420"/>
      <c r="J71" s="485">
        <f t="shared" si="5"/>
        <v>0.05</v>
      </c>
      <c r="K71" s="419"/>
      <c r="L71" s="426"/>
      <c r="M71" s="365"/>
      <c r="N71" s="365"/>
      <c r="O71" s="365"/>
      <c r="P71" s="365"/>
      <c r="Q71" s="365"/>
      <c r="R71" s="329">
        <v>0.05</v>
      </c>
      <c r="S71" s="343"/>
      <c r="T71" s="426"/>
      <c r="U71" s="365"/>
      <c r="V71" s="370">
        <v>0.05</v>
      </c>
      <c r="W71" s="370"/>
      <c r="X71" s="365"/>
      <c r="Y71" s="365"/>
      <c r="Z71" s="366"/>
      <c r="AA71" s="517"/>
    </row>
    <row r="72" spans="1:27" ht="12.75">
      <c r="A72" s="419" t="s">
        <v>120</v>
      </c>
      <c r="B72" s="420"/>
      <c r="C72" s="420"/>
      <c r="D72" s="420"/>
      <c r="E72" s="420"/>
      <c r="F72" s="420"/>
      <c r="G72" s="420"/>
      <c r="H72" s="420"/>
      <c r="I72" s="420"/>
      <c r="J72" s="485">
        <v>0.025</v>
      </c>
      <c r="K72" s="419"/>
      <c r="L72" s="426"/>
      <c r="M72" s="365"/>
      <c r="N72" s="328">
        <v>0.025</v>
      </c>
      <c r="O72" s="328"/>
      <c r="P72" s="365"/>
      <c r="Q72" s="365"/>
      <c r="R72" s="329"/>
      <c r="S72" s="343"/>
      <c r="T72" s="422"/>
      <c r="U72" s="423"/>
      <c r="V72" s="370"/>
      <c r="W72" s="370"/>
      <c r="X72" s="365"/>
      <c r="Y72" s="365"/>
      <c r="Z72" s="371">
        <v>0.025</v>
      </c>
      <c r="AA72" s="542"/>
    </row>
    <row r="73" spans="1:27" ht="12.75">
      <c r="A73" s="419" t="s">
        <v>111</v>
      </c>
      <c r="B73" s="420"/>
      <c r="C73" s="420"/>
      <c r="D73" s="420"/>
      <c r="E73" s="420"/>
      <c r="F73" s="420"/>
      <c r="G73" s="420"/>
      <c r="H73" s="420"/>
      <c r="I73" s="420"/>
      <c r="J73" s="485">
        <f t="shared" si="5"/>
        <v>0.05</v>
      </c>
      <c r="K73" s="419"/>
      <c r="L73" s="426"/>
      <c r="M73" s="365"/>
      <c r="N73" s="365"/>
      <c r="O73" s="365"/>
      <c r="P73" s="365"/>
      <c r="Q73" s="365"/>
      <c r="R73" s="329">
        <v>0.05</v>
      </c>
      <c r="S73" s="343"/>
      <c r="T73" s="426"/>
      <c r="U73" s="365"/>
      <c r="V73" s="370">
        <v>0.05</v>
      </c>
      <c r="W73" s="370"/>
      <c r="X73" s="365"/>
      <c r="Y73" s="365"/>
      <c r="Z73" s="366"/>
      <c r="AA73" s="517"/>
    </row>
    <row r="74" spans="1:27" ht="12.75">
      <c r="A74" s="419" t="s">
        <v>173</v>
      </c>
      <c r="B74" s="420"/>
      <c r="C74" s="420"/>
      <c r="D74" s="420"/>
      <c r="E74" s="420"/>
      <c r="F74" s="420"/>
      <c r="G74" s="420"/>
      <c r="H74" s="420"/>
      <c r="I74" s="420"/>
      <c r="J74" s="485">
        <f t="shared" si="5"/>
        <v>0.05</v>
      </c>
      <c r="K74" s="419"/>
      <c r="L74" s="426"/>
      <c r="M74" s="365"/>
      <c r="N74" s="365"/>
      <c r="O74" s="365"/>
      <c r="P74" s="365"/>
      <c r="Q74" s="365"/>
      <c r="R74" s="329">
        <v>0.05</v>
      </c>
      <c r="S74" s="343"/>
      <c r="T74" s="426"/>
      <c r="U74" s="365"/>
      <c r="V74" s="365"/>
      <c r="W74" s="365"/>
      <c r="X74" s="370">
        <v>0.05</v>
      </c>
      <c r="Y74" s="370"/>
      <c r="Z74" s="366"/>
      <c r="AA74" s="517"/>
    </row>
    <row r="75" spans="1:27" ht="12.75">
      <c r="A75" s="419" t="s">
        <v>120</v>
      </c>
      <c r="B75" s="420"/>
      <c r="C75" s="420"/>
      <c r="D75" s="420"/>
      <c r="E75" s="420"/>
      <c r="F75" s="420"/>
      <c r="G75" s="420"/>
      <c r="H75" s="420"/>
      <c r="I75" s="420"/>
      <c r="J75" s="485">
        <v>0.025</v>
      </c>
      <c r="K75" s="419"/>
      <c r="L75" s="426"/>
      <c r="M75" s="365"/>
      <c r="N75" s="328">
        <v>0.025</v>
      </c>
      <c r="O75" s="328"/>
      <c r="P75" s="365"/>
      <c r="Q75" s="365"/>
      <c r="R75" s="329"/>
      <c r="S75" s="343"/>
      <c r="T75" s="422"/>
      <c r="U75" s="423"/>
      <c r="V75" s="370"/>
      <c r="W75" s="370"/>
      <c r="X75" s="365"/>
      <c r="Y75" s="365"/>
      <c r="Z75" s="371">
        <v>0.025</v>
      </c>
      <c r="AA75" s="542"/>
    </row>
    <row r="76" spans="1:27" ht="12.75">
      <c r="A76" s="419" t="s">
        <v>107</v>
      </c>
      <c r="B76" s="420"/>
      <c r="C76" s="420"/>
      <c r="D76" s="420"/>
      <c r="E76" s="420"/>
      <c r="F76" s="420"/>
      <c r="G76" s="420"/>
      <c r="H76" s="420"/>
      <c r="I76" s="420"/>
      <c r="J76" s="485">
        <f t="shared" si="5"/>
        <v>0.025</v>
      </c>
      <c r="K76" s="419"/>
      <c r="L76" s="426"/>
      <c r="M76" s="365"/>
      <c r="N76" s="365"/>
      <c r="O76" s="365"/>
      <c r="P76" s="365"/>
      <c r="Q76" s="365"/>
      <c r="R76" s="329">
        <v>0.025</v>
      </c>
      <c r="S76" s="343"/>
      <c r="T76" s="515">
        <v>0.025</v>
      </c>
      <c r="U76" s="370"/>
      <c r="V76" s="365"/>
      <c r="W76" s="365"/>
      <c r="X76" s="365"/>
      <c r="Y76" s="365"/>
      <c r="Z76" s="366"/>
      <c r="AA76" s="517"/>
    </row>
    <row r="77" spans="1:27" ht="12.75">
      <c r="A77" s="419" t="s">
        <v>104</v>
      </c>
      <c r="B77" s="420"/>
      <c r="C77" s="420"/>
      <c r="D77" s="420"/>
      <c r="E77" s="420"/>
      <c r="F77" s="420"/>
      <c r="G77" s="420"/>
      <c r="H77" s="420"/>
      <c r="I77" s="420"/>
      <c r="J77" s="485">
        <f t="shared" si="5"/>
        <v>0.1</v>
      </c>
      <c r="K77" s="419"/>
      <c r="L77" s="426"/>
      <c r="M77" s="365"/>
      <c r="N77" s="365"/>
      <c r="O77" s="365"/>
      <c r="P77" s="366">
        <v>0.1</v>
      </c>
      <c r="Q77" s="366"/>
      <c r="R77" s="365"/>
      <c r="S77" s="367"/>
      <c r="T77" s="426"/>
      <c r="U77" s="365"/>
      <c r="V77" s="365"/>
      <c r="W77" s="365"/>
      <c r="X77" s="366"/>
      <c r="Y77" s="366"/>
      <c r="Z77" s="365"/>
      <c r="AA77" s="367"/>
    </row>
    <row r="78" spans="1:27" ht="12.75">
      <c r="A78" s="419" t="s">
        <v>105</v>
      </c>
      <c r="B78" s="420"/>
      <c r="C78" s="420"/>
      <c r="D78" s="420"/>
      <c r="E78" s="420"/>
      <c r="F78" s="420"/>
      <c r="G78" s="420"/>
      <c r="H78" s="420"/>
      <c r="I78" s="420"/>
      <c r="J78" s="485">
        <f t="shared" si="5"/>
        <v>0.05</v>
      </c>
      <c r="K78" s="419"/>
      <c r="L78" s="426"/>
      <c r="M78" s="365"/>
      <c r="N78" s="365"/>
      <c r="O78" s="365"/>
      <c r="P78" s="329">
        <v>0.05</v>
      </c>
      <c r="Q78" s="329"/>
      <c r="R78" s="365"/>
      <c r="S78" s="367"/>
      <c r="T78" s="426"/>
      <c r="U78" s="365"/>
      <c r="V78" s="365"/>
      <c r="W78" s="365"/>
      <c r="X78" s="366"/>
      <c r="Y78" s="366"/>
      <c r="Z78" s="370">
        <v>0.05</v>
      </c>
      <c r="AA78" s="520"/>
    </row>
    <row r="79" spans="1:27" ht="12.75">
      <c r="A79" s="419" t="s">
        <v>108</v>
      </c>
      <c r="B79" s="420"/>
      <c r="C79" s="420"/>
      <c r="D79" s="420"/>
      <c r="E79" s="420"/>
      <c r="F79" s="420"/>
      <c r="G79" s="420"/>
      <c r="H79" s="420"/>
      <c r="I79" s="420"/>
      <c r="J79" s="485">
        <f t="shared" si="5"/>
        <v>0.05</v>
      </c>
      <c r="K79" s="419"/>
      <c r="L79" s="426"/>
      <c r="M79" s="365"/>
      <c r="N79" s="365"/>
      <c r="O79" s="365"/>
      <c r="P79" s="329">
        <v>0.05</v>
      </c>
      <c r="Q79" s="329"/>
      <c r="R79" s="365"/>
      <c r="S79" s="367"/>
      <c r="T79" s="426"/>
      <c r="U79" s="365"/>
      <c r="V79" s="365"/>
      <c r="W79" s="365"/>
      <c r="X79" s="366"/>
      <c r="Y79" s="366"/>
      <c r="Z79" s="370">
        <v>0.05</v>
      </c>
      <c r="AA79" s="520"/>
    </row>
    <row r="80" spans="1:27" ht="12.75">
      <c r="A80" s="419" t="s">
        <v>120</v>
      </c>
      <c r="B80" s="420"/>
      <c r="C80" s="420"/>
      <c r="D80" s="420"/>
      <c r="E80" s="420"/>
      <c r="F80" s="420"/>
      <c r="G80" s="420"/>
      <c r="H80" s="420"/>
      <c r="I80" s="420"/>
      <c r="J80" s="525">
        <f>SUM(L80:S80)</f>
        <v>0.025</v>
      </c>
      <c r="K80" s="473"/>
      <c r="L80" s="427"/>
      <c r="M80" s="366"/>
      <c r="N80" s="328">
        <v>0.025</v>
      </c>
      <c r="O80" s="328"/>
      <c r="P80" s="365"/>
      <c r="Q80" s="365"/>
      <c r="R80" s="424"/>
      <c r="S80" s="425"/>
      <c r="T80" s="427"/>
      <c r="U80" s="366"/>
      <c r="V80" s="365"/>
      <c r="W80" s="365"/>
      <c r="X80" s="365"/>
      <c r="Y80" s="365"/>
      <c r="Z80" s="371">
        <v>0.025</v>
      </c>
      <c r="AA80" s="542"/>
    </row>
    <row r="81" spans="1:29" ht="13.5" thickBot="1">
      <c r="A81" s="419" t="s">
        <v>109</v>
      </c>
      <c r="B81" s="420"/>
      <c r="C81" s="420"/>
      <c r="D81" s="420"/>
      <c r="E81" s="420"/>
      <c r="F81" s="420"/>
      <c r="G81" s="420"/>
      <c r="H81" s="420"/>
      <c r="I81" s="420"/>
      <c r="J81" s="525">
        <f t="shared" si="5"/>
        <v>0.1</v>
      </c>
      <c r="K81" s="473"/>
      <c r="L81" s="526">
        <v>0.1</v>
      </c>
      <c r="M81" s="527"/>
      <c r="N81" s="412"/>
      <c r="O81" s="412"/>
      <c r="P81" s="412"/>
      <c r="Q81" s="412"/>
      <c r="R81" s="521"/>
      <c r="S81" s="522"/>
      <c r="T81" s="523"/>
      <c r="U81" s="524"/>
      <c r="V81" s="412"/>
      <c r="W81" s="412"/>
      <c r="X81" s="412"/>
      <c r="Y81" s="412"/>
      <c r="Z81" s="521"/>
      <c r="AA81" s="522"/>
      <c r="AB81" s="33"/>
      <c r="AC81" s="33"/>
    </row>
    <row r="82" spans="10:29" ht="13.5" thickBot="1">
      <c r="J82" s="348">
        <f>SUM(J67:K81)</f>
        <v>0.7500000000000001</v>
      </c>
      <c r="K82" s="324"/>
      <c r="L82" s="348">
        <f>SUM(L67:M81)</f>
        <v>0.2</v>
      </c>
      <c r="M82" s="323"/>
      <c r="N82" s="323">
        <f>SUM(N67:O81)</f>
        <v>0.1</v>
      </c>
      <c r="O82" s="323"/>
      <c r="P82" s="323">
        <f>SUM(P67:Q81)</f>
        <v>0.2</v>
      </c>
      <c r="Q82" s="323"/>
      <c r="R82" s="323">
        <f>SUM(R67:S81)</f>
        <v>0.24999999999999997</v>
      </c>
      <c r="S82" s="324"/>
      <c r="T82" s="348">
        <f>SUM(T67:U81)</f>
        <v>0.05</v>
      </c>
      <c r="U82" s="323"/>
      <c r="V82" s="323">
        <f>SUM(V67:W81)</f>
        <v>0.15000000000000002</v>
      </c>
      <c r="W82" s="323"/>
      <c r="X82" s="323">
        <f>SUM(X67:Y81)</f>
        <v>0.05</v>
      </c>
      <c r="Y82" s="323"/>
      <c r="Z82" s="323">
        <f>SUM(Z67:AA81)</f>
        <v>0.19999999999999998</v>
      </c>
      <c r="AA82" s="324"/>
      <c r="AB82" s="33"/>
      <c r="AC82" s="33"/>
    </row>
    <row r="83" spans="12:29" ht="12.75">
      <c r="L83" s="325">
        <f>SUM(L82:S82)</f>
        <v>0.75</v>
      </c>
      <c r="M83" s="325"/>
      <c r="N83" s="325"/>
      <c r="O83" s="325"/>
      <c r="P83" s="325"/>
      <c r="Q83" s="325"/>
      <c r="R83" s="325"/>
      <c r="S83" s="325"/>
      <c r="T83" s="325">
        <f>SUM(T82:AA82)</f>
        <v>0.44999999999999996</v>
      </c>
      <c r="U83" s="325"/>
      <c r="V83" s="325"/>
      <c r="W83" s="325"/>
      <c r="X83" s="325"/>
      <c r="Y83" s="325"/>
      <c r="Z83" s="325"/>
      <c r="AA83" s="325"/>
      <c r="AB83" s="33"/>
      <c r="AC83" s="33"/>
    </row>
  </sheetData>
  <mergeCells count="1163">
    <mergeCell ref="AQ36:AR36"/>
    <mergeCell ref="AS36:AT36"/>
    <mergeCell ref="AU36:AV36"/>
    <mergeCell ref="AM42:AT42"/>
    <mergeCell ref="AU42:BB42"/>
    <mergeCell ref="AW41:AX41"/>
    <mergeCell ref="AY41:AZ41"/>
    <mergeCell ref="BA41:BB41"/>
    <mergeCell ref="AW40:AX40"/>
    <mergeCell ref="AY40:AZ40"/>
    <mergeCell ref="AB36:AJ36"/>
    <mergeCell ref="AK36:AL36"/>
    <mergeCell ref="AM36:AN36"/>
    <mergeCell ref="AO36:AP36"/>
    <mergeCell ref="AY31:AZ31"/>
    <mergeCell ref="BA31:BB31"/>
    <mergeCell ref="AB32:AJ32"/>
    <mergeCell ref="AK32:AL32"/>
    <mergeCell ref="AM32:AN32"/>
    <mergeCell ref="AO32:AP32"/>
    <mergeCell ref="AQ32:AR32"/>
    <mergeCell ref="AS32:AT32"/>
    <mergeCell ref="AU32:AV32"/>
    <mergeCell ref="AQ31:AR31"/>
    <mergeCell ref="AS31:AT31"/>
    <mergeCell ref="AU31:AV31"/>
    <mergeCell ref="AW31:AX31"/>
    <mergeCell ref="AB31:AJ31"/>
    <mergeCell ref="AK31:AL31"/>
    <mergeCell ref="AM31:AN31"/>
    <mergeCell ref="AO31:AP31"/>
    <mergeCell ref="AB26:AJ26"/>
    <mergeCell ref="AK26:AL26"/>
    <mergeCell ref="AM26:AN26"/>
    <mergeCell ref="AO26:AP26"/>
    <mergeCell ref="AO16:AP16"/>
    <mergeCell ref="AB15:AJ15"/>
    <mergeCell ref="AK15:AL15"/>
    <mergeCell ref="AM15:AN15"/>
    <mergeCell ref="AO15:AP15"/>
    <mergeCell ref="AB16:AJ16"/>
    <mergeCell ref="AK16:AL16"/>
    <mergeCell ref="AM16:AN16"/>
    <mergeCell ref="AU3:AV3"/>
    <mergeCell ref="AB4:AJ4"/>
    <mergeCell ref="AK4:AL4"/>
    <mergeCell ref="AM4:AN4"/>
    <mergeCell ref="AO4:AP4"/>
    <mergeCell ref="AQ4:AR4"/>
    <mergeCell ref="AS4:AT4"/>
    <mergeCell ref="AU4:AV4"/>
    <mergeCell ref="AM3:AN3"/>
    <mergeCell ref="AO3:AP3"/>
    <mergeCell ref="AQ3:AR3"/>
    <mergeCell ref="AS3:AT3"/>
    <mergeCell ref="BA14:BB14"/>
    <mergeCell ref="AQ15:AR15"/>
    <mergeCell ref="AS15:AT15"/>
    <mergeCell ref="AU15:AV15"/>
    <mergeCell ref="BA15:BB15"/>
    <mergeCell ref="AU14:AV14"/>
    <mergeCell ref="BA11:BB11"/>
    <mergeCell ref="AQ12:AR12"/>
    <mergeCell ref="AY2:AZ2"/>
    <mergeCell ref="AW16:AX16"/>
    <mergeCell ref="AY16:AZ16"/>
    <mergeCell ref="AW15:AX15"/>
    <mergeCell ref="AY15:AZ15"/>
    <mergeCell ref="AW12:AX12"/>
    <mergeCell ref="AY12:AZ12"/>
    <mergeCell ref="AW14:AX14"/>
    <mergeCell ref="AY14:AZ14"/>
    <mergeCell ref="AW13:AX13"/>
    <mergeCell ref="AQ16:AR16"/>
    <mergeCell ref="AS16:AT16"/>
    <mergeCell ref="AU16:AV16"/>
    <mergeCell ref="AQ13:AR13"/>
    <mergeCell ref="AS13:AT13"/>
    <mergeCell ref="AU13:AV13"/>
    <mergeCell ref="AU1:BB1"/>
    <mergeCell ref="AB2:AJ2"/>
    <mergeCell ref="AK2:AL2"/>
    <mergeCell ref="AM2:AN2"/>
    <mergeCell ref="AO2:AP2"/>
    <mergeCell ref="AQ2:AR2"/>
    <mergeCell ref="AS2:AT2"/>
    <mergeCell ref="AU2:AV2"/>
    <mergeCell ref="BA2:BB2"/>
    <mergeCell ref="AW2:AX2"/>
    <mergeCell ref="AB1:AL1"/>
    <mergeCell ref="AM1:AT1"/>
    <mergeCell ref="AB14:AJ14"/>
    <mergeCell ref="AK14:AL14"/>
    <mergeCell ref="AM14:AN14"/>
    <mergeCell ref="AO14:AP14"/>
    <mergeCell ref="AQ14:AR14"/>
    <mergeCell ref="AS14:AT14"/>
    <mergeCell ref="AB3:AJ3"/>
    <mergeCell ref="AK3:AL3"/>
    <mergeCell ref="J82:K82"/>
    <mergeCell ref="L82:M82"/>
    <mergeCell ref="N82:O82"/>
    <mergeCell ref="P82:Q82"/>
    <mergeCell ref="X82:Y82"/>
    <mergeCell ref="Z82:AA82"/>
    <mergeCell ref="L83:S83"/>
    <mergeCell ref="T83:AA83"/>
    <mergeCell ref="R82:S82"/>
    <mergeCell ref="T82:U82"/>
    <mergeCell ref="V82:W82"/>
    <mergeCell ref="X81:Y81"/>
    <mergeCell ref="Z81:AA81"/>
    <mergeCell ref="X80:Y80"/>
    <mergeCell ref="Z80:AA80"/>
    <mergeCell ref="A81:I81"/>
    <mergeCell ref="J81:K81"/>
    <mergeCell ref="L81:M81"/>
    <mergeCell ref="N81:O81"/>
    <mergeCell ref="P81:Q81"/>
    <mergeCell ref="R81:S81"/>
    <mergeCell ref="T81:U81"/>
    <mergeCell ref="V81:W81"/>
    <mergeCell ref="X79:Y79"/>
    <mergeCell ref="Z79:AA79"/>
    <mergeCell ref="A80:I80"/>
    <mergeCell ref="J80:K80"/>
    <mergeCell ref="L80:M80"/>
    <mergeCell ref="N80:O80"/>
    <mergeCell ref="P80:Q80"/>
    <mergeCell ref="R80:S80"/>
    <mergeCell ref="T80:U80"/>
    <mergeCell ref="V80:W80"/>
    <mergeCell ref="X78:Y78"/>
    <mergeCell ref="Z78:AA78"/>
    <mergeCell ref="A79:I79"/>
    <mergeCell ref="J79:K79"/>
    <mergeCell ref="L79:M79"/>
    <mergeCell ref="N79:O79"/>
    <mergeCell ref="P79:Q79"/>
    <mergeCell ref="R79:S79"/>
    <mergeCell ref="T79:U79"/>
    <mergeCell ref="V79:W79"/>
    <mergeCell ref="X77:Y77"/>
    <mergeCell ref="Z77:AA77"/>
    <mergeCell ref="A78:I78"/>
    <mergeCell ref="J78:K78"/>
    <mergeCell ref="L78:M78"/>
    <mergeCell ref="N78:O78"/>
    <mergeCell ref="P78:Q78"/>
    <mergeCell ref="R78:S78"/>
    <mergeCell ref="T78:U78"/>
    <mergeCell ref="V78:W78"/>
    <mergeCell ref="P77:Q77"/>
    <mergeCell ref="R77:S77"/>
    <mergeCell ref="T77:U77"/>
    <mergeCell ref="V77:W77"/>
    <mergeCell ref="A77:I77"/>
    <mergeCell ref="J77:K77"/>
    <mergeCell ref="L77:M77"/>
    <mergeCell ref="N77:O77"/>
    <mergeCell ref="A76:I76"/>
    <mergeCell ref="J76:K76"/>
    <mergeCell ref="L76:M76"/>
    <mergeCell ref="N76:O76"/>
    <mergeCell ref="T76:U76"/>
    <mergeCell ref="V75:W75"/>
    <mergeCell ref="P75:Q75"/>
    <mergeCell ref="R75:S75"/>
    <mergeCell ref="T75:U75"/>
    <mergeCell ref="V76:W76"/>
    <mergeCell ref="A75:I75"/>
    <mergeCell ref="J75:K75"/>
    <mergeCell ref="L75:M75"/>
    <mergeCell ref="N75:O75"/>
    <mergeCell ref="Z74:AA74"/>
    <mergeCell ref="X75:Y75"/>
    <mergeCell ref="Z75:AA75"/>
    <mergeCell ref="BA40:BB40"/>
    <mergeCell ref="AK41:AL41"/>
    <mergeCell ref="AM41:AN41"/>
    <mergeCell ref="AO41:AP41"/>
    <mergeCell ref="AQ41:AR41"/>
    <mergeCell ref="AS41:AT41"/>
    <mergeCell ref="AU41:AV41"/>
    <mergeCell ref="A74:I74"/>
    <mergeCell ref="J74:K74"/>
    <mergeCell ref="L74:M74"/>
    <mergeCell ref="N74:O74"/>
    <mergeCell ref="Z53:AA53"/>
    <mergeCell ref="X52:Y52"/>
    <mergeCell ref="X76:Y76"/>
    <mergeCell ref="P76:Q76"/>
    <mergeCell ref="R76:S76"/>
    <mergeCell ref="P74:Q74"/>
    <mergeCell ref="R74:S74"/>
    <mergeCell ref="T74:U74"/>
    <mergeCell ref="V74:W74"/>
    <mergeCell ref="X74:Y74"/>
    <mergeCell ref="X73:Y73"/>
    <mergeCell ref="Z73:AA73"/>
    <mergeCell ref="V67:W67"/>
    <mergeCell ref="X60:Y60"/>
    <mergeCell ref="X72:Y72"/>
    <mergeCell ref="X66:Y66"/>
    <mergeCell ref="Z66:AA66"/>
    <mergeCell ref="P70:Q70"/>
    <mergeCell ref="AY39:AZ39"/>
    <mergeCell ref="Z69:AA69"/>
    <mergeCell ref="V71:W71"/>
    <mergeCell ref="X71:Y71"/>
    <mergeCell ref="Z71:AA71"/>
    <mergeCell ref="R70:S70"/>
    <mergeCell ref="AW39:AX39"/>
    <mergeCell ref="V59:W59"/>
    <mergeCell ref="X59:Y59"/>
    <mergeCell ref="BA39:BB39"/>
    <mergeCell ref="AB40:AJ40"/>
    <mergeCell ref="AK40:AL40"/>
    <mergeCell ref="AM40:AN40"/>
    <mergeCell ref="AO40:AP40"/>
    <mergeCell ref="AQ40:AR40"/>
    <mergeCell ref="AS40:AT40"/>
    <mergeCell ref="AU40:AV40"/>
    <mergeCell ref="AB39:AJ39"/>
    <mergeCell ref="AW38:AX38"/>
    <mergeCell ref="Z67:AA67"/>
    <mergeCell ref="AS39:AT39"/>
    <mergeCell ref="AU39:AV39"/>
    <mergeCell ref="AB38:AJ38"/>
    <mergeCell ref="AK38:AL38"/>
    <mergeCell ref="AQ39:AR39"/>
    <mergeCell ref="Z60:AA60"/>
    <mergeCell ref="Z59:AA59"/>
    <mergeCell ref="Z58:AA58"/>
    <mergeCell ref="Z76:AA76"/>
    <mergeCell ref="AY38:AZ38"/>
    <mergeCell ref="Z72:AA72"/>
    <mergeCell ref="X70:Y70"/>
    <mergeCell ref="Z70:AA70"/>
    <mergeCell ref="Z68:AA68"/>
    <mergeCell ref="X67:Y67"/>
    <mergeCell ref="AM39:AN39"/>
    <mergeCell ref="AO39:AP39"/>
    <mergeCell ref="Z52:AA52"/>
    <mergeCell ref="P73:Q73"/>
    <mergeCell ref="R73:S73"/>
    <mergeCell ref="T73:U73"/>
    <mergeCell ref="V72:W72"/>
    <mergeCell ref="P72:Q72"/>
    <mergeCell ref="R72:S72"/>
    <mergeCell ref="T72:U72"/>
    <mergeCell ref="V73:W73"/>
    <mergeCell ref="A73:I73"/>
    <mergeCell ref="J73:K73"/>
    <mergeCell ref="L73:M73"/>
    <mergeCell ref="N73:O73"/>
    <mergeCell ref="A72:I72"/>
    <mergeCell ref="J72:K72"/>
    <mergeCell ref="L72:M72"/>
    <mergeCell ref="N72:O72"/>
    <mergeCell ref="AY37:AZ37"/>
    <mergeCell ref="BA37:BB37"/>
    <mergeCell ref="A71:I71"/>
    <mergeCell ref="J71:K71"/>
    <mergeCell ref="L71:M71"/>
    <mergeCell ref="N71:O71"/>
    <mergeCell ref="P71:Q71"/>
    <mergeCell ref="R71:S71"/>
    <mergeCell ref="T71:U71"/>
    <mergeCell ref="BA38:BB38"/>
    <mergeCell ref="AW36:AX36"/>
    <mergeCell ref="AY36:AZ36"/>
    <mergeCell ref="BA36:BB36"/>
    <mergeCell ref="AB37:AJ37"/>
    <mergeCell ref="AK37:AL37"/>
    <mergeCell ref="AM37:AN37"/>
    <mergeCell ref="AO37:AP37"/>
    <mergeCell ref="AQ37:AR37"/>
    <mergeCell ref="AS37:AT37"/>
    <mergeCell ref="AW37:AX37"/>
    <mergeCell ref="A70:I70"/>
    <mergeCell ref="J70:K70"/>
    <mergeCell ref="L70:M70"/>
    <mergeCell ref="N70:O70"/>
    <mergeCell ref="T70:U70"/>
    <mergeCell ref="V68:W68"/>
    <mergeCell ref="X68:Y68"/>
    <mergeCell ref="V69:W69"/>
    <mergeCell ref="X69:Y69"/>
    <mergeCell ref="V70:W70"/>
    <mergeCell ref="A69:I69"/>
    <mergeCell ref="J69:K69"/>
    <mergeCell ref="L69:M69"/>
    <mergeCell ref="N69:O69"/>
    <mergeCell ref="P69:Q69"/>
    <mergeCell ref="R69:S69"/>
    <mergeCell ref="T69:U69"/>
    <mergeCell ref="T67:U67"/>
    <mergeCell ref="R68:S68"/>
    <mergeCell ref="T68:U68"/>
    <mergeCell ref="R67:S67"/>
    <mergeCell ref="L67:M67"/>
    <mergeCell ref="N67:O67"/>
    <mergeCell ref="P67:Q67"/>
    <mergeCell ref="A68:I68"/>
    <mergeCell ref="N68:O68"/>
    <mergeCell ref="P68:Q68"/>
    <mergeCell ref="A67:I67"/>
    <mergeCell ref="J67:K67"/>
    <mergeCell ref="J68:K68"/>
    <mergeCell ref="L68:M68"/>
    <mergeCell ref="A65:K65"/>
    <mergeCell ref="L65:S65"/>
    <mergeCell ref="AM38:AN38"/>
    <mergeCell ref="AO38:AP38"/>
    <mergeCell ref="T65:AA65"/>
    <mergeCell ref="X63:Y63"/>
    <mergeCell ref="Z63:AA63"/>
    <mergeCell ref="L64:S64"/>
    <mergeCell ref="T64:AA64"/>
    <mergeCell ref="Z61:AA61"/>
    <mergeCell ref="J63:K63"/>
    <mergeCell ref="L63:M63"/>
    <mergeCell ref="N63:O63"/>
    <mergeCell ref="P63:Q63"/>
    <mergeCell ref="R63:S63"/>
    <mergeCell ref="T63:U63"/>
    <mergeCell ref="V63:W63"/>
    <mergeCell ref="Z62:AA62"/>
    <mergeCell ref="X62:Y62"/>
    <mergeCell ref="BA28:BB28"/>
    <mergeCell ref="A61:I61"/>
    <mergeCell ref="J61:K61"/>
    <mergeCell ref="L61:M61"/>
    <mergeCell ref="N61:O61"/>
    <mergeCell ref="P61:Q61"/>
    <mergeCell ref="R61:S61"/>
    <mergeCell ref="T61:U61"/>
    <mergeCell ref="V61:W61"/>
    <mergeCell ref="X61:Y61"/>
    <mergeCell ref="A60:I60"/>
    <mergeCell ref="J60:K60"/>
    <mergeCell ref="L60:M60"/>
    <mergeCell ref="N60:O60"/>
    <mergeCell ref="P60:Q60"/>
    <mergeCell ref="R60:S60"/>
    <mergeCell ref="T60:U60"/>
    <mergeCell ref="V58:W58"/>
    <mergeCell ref="V60:W60"/>
    <mergeCell ref="T58:U58"/>
    <mergeCell ref="P59:Q59"/>
    <mergeCell ref="R59:S59"/>
    <mergeCell ref="T59:U59"/>
    <mergeCell ref="P58:Q58"/>
    <mergeCell ref="A59:I59"/>
    <mergeCell ref="J59:K59"/>
    <mergeCell ref="L59:M59"/>
    <mergeCell ref="N59:O59"/>
    <mergeCell ref="R58:S58"/>
    <mergeCell ref="X58:Y58"/>
    <mergeCell ref="A58:I58"/>
    <mergeCell ref="J58:K58"/>
    <mergeCell ref="L58:M58"/>
    <mergeCell ref="N58:O58"/>
    <mergeCell ref="AY25:AZ25"/>
    <mergeCell ref="AY28:AZ28"/>
    <mergeCell ref="AU38:AV38"/>
    <mergeCell ref="AK39:AL39"/>
    <mergeCell ref="AQ38:AR38"/>
    <mergeCell ref="AS38:AT38"/>
    <mergeCell ref="AU37:AV37"/>
    <mergeCell ref="AW35:AX35"/>
    <mergeCell ref="AY35:AZ35"/>
    <mergeCell ref="AY34:AZ34"/>
    <mergeCell ref="Z54:AA54"/>
    <mergeCell ref="V57:W57"/>
    <mergeCell ref="X57:Y57"/>
    <mergeCell ref="Z57:AA57"/>
    <mergeCell ref="V56:W56"/>
    <mergeCell ref="X56:Y56"/>
    <mergeCell ref="Z56:AA56"/>
    <mergeCell ref="X55:Y55"/>
    <mergeCell ref="Z55:AA55"/>
    <mergeCell ref="A57:I57"/>
    <mergeCell ref="J57:K57"/>
    <mergeCell ref="L57:M57"/>
    <mergeCell ref="N57:O57"/>
    <mergeCell ref="P57:Q57"/>
    <mergeCell ref="R57:S57"/>
    <mergeCell ref="T57:U57"/>
    <mergeCell ref="V55:W55"/>
    <mergeCell ref="P56:Q56"/>
    <mergeCell ref="R56:S56"/>
    <mergeCell ref="T56:U56"/>
    <mergeCell ref="P55:Q55"/>
    <mergeCell ref="R55:S55"/>
    <mergeCell ref="T55:U55"/>
    <mergeCell ref="A56:I56"/>
    <mergeCell ref="J56:K56"/>
    <mergeCell ref="L56:M56"/>
    <mergeCell ref="N56:O56"/>
    <mergeCell ref="A55:I55"/>
    <mergeCell ref="J55:K55"/>
    <mergeCell ref="L55:M55"/>
    <mergeCell ref="N55:O55"/>
    <mergeCell ref="A54:I54"/>
    <mergeCell ref="J54:K54"/>
    <mergeCell ref="L54:M54"/>
    <mergeCell ref="N54:O54"/>
    <mergeCell ref="V52:W52"/>
    <mergeCell ref="P53:Q53"/>
    <mergeCell ref="R53:S53"/>
    <mergeCell ref="T53:U53"/>
    <mergeCell ref="V53:W53"/>
    <mergeCell ref="X53:Y53"/>
    <mergeCell ref="P54:Q54"/>
    <mergeCell ref="R54:S54"/>
    <mergeCell ref="T54:U54"/>
    <mergeCell ref="V54:W54"/>
    <mergeCell ref="X54:Y54"/>
    <mergeCell ref="A53:I53"/>
    <mergeCell ref="J53:K53"/>
    <mergeCell ref="L53:M53"/>
    <mergeCell ref="N53:O53"/>
    <mergeCell ref="Z50:AA50"/>
    <mergeCell ref="A52:I52"/>
    <mergeCell ref="J52:K52"/>
    <mergeCell ref="L52:M52"/>
    <mergeCell ref="N52:O52"/>
    <mergeCell ref="P52:Q52"/>
    <mergeCell ref="R52:S52"/>
    <mergeCell ref="T52:U52"/>
    <mergeCell ref="V50:W50"/>
    <mergeCell ref="X51:Y51"/>
    <mergeCell ref="X49:Y49"/>
    <mergeCell ref="Z49:AA49"/>
    <mergeCell ref="A50:I50"/>
    <mergeCell ref="J50:K50"/>
    <mergeCell ref="L50:M50"/>
    <mergeCell ref="N50:O50"/>
    <mergeCell ref="P50:Q50"/>
    <mergeCell ref="R50:S50"/>
    <mergeCell ref="T50:U50"/>
    <mergeCell ref="X50:Y50"/>
    <mergeCell ref="P49:Q49"/>
    <mergeCell ref="R49:S49"/>
    <mergeCell ref="T49:U49"/>
    <mergeCell ref="V49:W49"/>
    <mergeCell ref="A49:I49"/>
    <mergeCell ref="J49:K49"/>
    <mergeCell ref="L49:M49"/>
    <mergeCell ref="N49:O49"/>
    <mergeCell ref="V44:W44"/>
    <mergeCell ref="V48:W48"/>
    <mergeCell ref="X48:Y48"/>
    <mergeCell ref="Z48:AA48"/>
    <mergeCell ref="P48:Q48"/>
    <mergeCell ref="R48:S48"/>
    <mergeCell ref="T48:U48"/>
    <mergeCell ref="T44:U44"/>
    <mergeCell ref="R47:S47"/>
    <mergeCell ref="T47:U47"/>
    <mergeCell ref="L46:S46"/>
    <mergeCell ref="T46:AA46"/>
    <mergeCell ref="X44:Y44"/>
    <mergeCell ref="Z44:AA44"/>
    <mergeCell ref="A48:I48"/>
    <mergeCell ref="J48:K48"/>
    <mergeCell ref="L48:M48"/>
    <mergeCell ref="N48:O48"/>
    <mergeCell ref="BA34:BB34"/>
    <mergeCell ref="AB35:AJ35"/>
    <mergeCell ref="AK35:AL35"/>
    <mergeCell ref="AM35:AN35"/>
    <mergeCell ref="AO35:AP35"/>
    <mergeCell ref="AQ35:AR35"/>
    <mergeCell ref="AS35:AT35"/>
    <mergeCell ref="AU35:AV35"/>
    <mergeCell ref="BA35:BB35"/>
    <mergeCell ref="AY33:AZ33"/>
    <mergeCell ref="BA33:BB33"/>
    <mergeCell ref="AB34:AJ34"/>
    <mergeCell ref="AK34:AL34"/>
    <mergeCell ref="AM34:AN34"/>
    <mergeCell ref="AO34:AP34"/>
    <mergeCell ref="AQ34:AR34"/>
    <mergeCell ref="AS34:AT34"/>
    <mergeCell ref="AU34:AV34"/>
    <mergeCell ref="AW34:AX34"/>
    <mergeCell ref="AY32:AZ32"/>
    <mergeCell ref="BA32:BB32"/>
    <mergeCell ref="AB33:AJ33"/>
    <mergeCell ref="AK33:AL33"/>
    <mergeCell ref="AM33:AN33"/>
    <mergeCell ref="AO33:AP33"/>
    <mergeCell ref="AQ33:AR33"/>
    <mergeCell ref="AS33:AT33"/>
    <mergeCell ref="AU33:AV33"/>
    <mergeCell ref="AW33:AX33"/>
    <mergeCell ref="AW30:AX30"/>
    <mergeCell ref="V47:W47"/>
    <mergeCell ref="X47:Y47"/>
    <mergeCell ref="Z47:AA47"/>
    <mergeCell ref="Z43:AA43"/>
    <mergeCell ref="Z40:AA40"/>
    <mergeCell ref="V30:W30"/>
    <mergeCell ref="AW32:AX32"/>
    <mergeCell ref="X43:Y43"/>
    <mergeCell ref="V43:W43"/>
    <mergeCell ref="BA30:BB30"/>
    <mergeCell ref="A66:I66"/>
    <mergeCell ref="J66:K66"/>
    <mergeCell ref="L66:M66"/>
    <mergeCell ref="N66:O66"/>
    <mergeCell ref="P66:Q66"/>
    <mergeCell ref="R66:S66"/>
    <mergeCell ref="T66:U66"/>
    <mergeCell ref="A46:K46"/>
    <mergeCell ref="V66:W66"/>
    <mergeCell ref="AY29:AZ29"/>
    <mergeCell ref="BA29:BB29"/>
    <mergeCell ref="AB30:AJ30"/>
    <mergeCell ref="AK30:AL30"/>
    <mergeCell ref="AM30:AN30"/>
    <mergeCell ref="AO30:AP30"/>
    <mergeCell ref="AQ30:AR30"/>
    <mergeCell ref="AS30:AT30"/>
    <mergeCell ref="AU30:AV30"/>
    <mergeCell ref="AY30:AZ30"/>
    <mergeCell ref="BA27:BB27"/>
    <mergeCell ref="AB28:AJ28"/>
    <mergeCell ref="AK28:AL28"/>
    <mergeCell ref="AM28:AN28"/>
    <mergeCell ref="AO28:AP28"/>
    <mergeCell ref="AQ28:AR28"/>
    <mergeCell ref="AS28:AT28"/>
    <mergeCell ref="AU28:AV28"/>
    <mergeCell ref="AW27:AX27"/>
    <mergeCell ref="AW28:AX28"/>
    <mergeCell ref="AY26:AZ26"/>
    <mergeCell ref="BA26:BB26"/>
    <mergeCell ref="AB27:AJ27"/>
    <mergeCell ref="AK27:AL27"/>
    <mergeCell ref="AM27:AN27"/>
    <mergeCell ref="AO27:AP27"/>
    <mergeCell ref="AQ27:AR27"/>
    <mergeCell ref="AS27:AT27"/>
    <mergeCell ref="AU27:AV27"/>
    <mergeCell ref="AY27:AZ27"/>
    <mergeCell ref="AW26:AX26"/>
    <mergeCell ref="AQ29:AR29"/>
    <mergeCell ref="AS29:AT29"/>
    <mergeCell ref="AU29:AV29"/>
    <mergeCell ref="AW29:AX29"/>
    <mergeCell ref="AQ26:AR26"/>
    <mergeCell ref="AS26:AT26"/>
    <mergeCell ref="AU26:AV26"/>
    <mergeCell ref="AB29:AJ29"/>
    <mergeCell ref="AK29:AL29"/>
    <mergeCell ref="AM29:AN29"/>
    <mergeCell ref="AO29:AP29"/>
    <mergeCell ref="J44:K44"/>
    <mergeCell ref="L44:M44"/>
    <mergeCell ref="N44:O44"/>
    <mergeCell ref="P44:Q44"/>
    <mergeCell ref="AW23:AX23"/>
    <mergeCell ref="AW24:AX24"/>
    <mergeCell ref="AW25:AX25"/>
    <mergeCell ref="AB25:AJ25"/>
    <mergeCell ref="AK25:AL25"/>
    <mergeCell ref="AM25:AN25"/>
    <mergeCell ref="AO25:AP25"/>
    <mergeCell ref="AB24:AJ24"/>
    <mergeCell ref="AK24:AL24"/>
    <mergeCell ref="AM24:AN24"/>
    <mergeCell ref="AY23:AZ23"/>
    <mergeCell ref="BA24:BB24"/>
    <mergeCell ref="AQ25:AR25"/>
    <mergeCell ref="AS25:AT25"/>
    <mergeCell ref="AU25:AV25"/>
    <mergeCell ref="BA25:BB25"/>
    <mergeCell ref="AQ24:AR24"/>
    <mergeCell ref="AS24:AT24"/>
    <mergeCell ref="AU24:AV24"/>
    <mergeCell ref="AY24:AZ24"/>
    <mergeCell ref="AW22:AX22"/>
    <mergeCell ref="AO24:AP24"/>
    <mergeCell ref="BA22:BB22"/>
    <mergeCell ref="AB23:AJ23"/>
    <mergeCell ref="AK23:AL23"/>
    <mergeCell ref="AM23:AN23"/>
    <mergeCell ref="AO23:AP23"/>
    <mergeCell ref="AQ23:AR23"/>
    <mergeCell ref="AS23:AT23"/>
    <mergeCell ref="AU23:AV23"/>
    <mergeCell ref="AW21:AX21"/>
    <mergeCell ref="BA23:BB23"/>
    <mergeCell ref="BA21:BB21"/>
    <mergeCell ref="AB22:AJ22"/>
    <mergeCell ref="AK22:AL22"/>
    <mergeCell ref="AM22:AN22"/>
    <mergeCell ref="AO22:AP22"/>
    <mergeCell ref="AQ22:AR22"/>
    <mergeCell ref="AS22:AT22"/>
    <mergeCell ref="AU22:AV22"/>
    <mergeCell ref="AW20:AX20"/>
    <mergeCell ref="AY22:AZ22"/>
    <mergeCell ref="BA20:BB20"/>
    <mergeCell ref="AB21:AJ21"/>
    <mergeCell ref="AK21:AL21"/>
    <mergeCell ref="AM21:AN21"/>
    <mergeCell ref="AO21:AP21"/>
    <mergeCell ref="AQ21:AR21"/>
    <mergeCell ref="AS21:AT21"/>
    <mergeCell ref="AU21:AV21"/>
    <mergeCell ref="AW19:AX19"/>
    <mergeCell ref="AY21:AZ21"/>
    <mergeCell ref="BA19:BB19"/>
    <mergeCell ref="AB20:AJ20"/>
    <mergeCell ref="AK20:AL20"/>
    <mergeCell ref="AM20:AN20"/>
    <mergeCell ref="AO20:AP20"/>
    <mergeCell ref="AQ20:AR20"/>
    <mergeCell ref="AS20:AT20"/>
    <mergeCell ref="AU20:AV20"/>
    <mergeCell ref="AW18:AX18"/>
    <mergeCell ref="AY20:AZ20"/>
    <mergeCell ref="BA18:BB18"/>
    <mergeCell ref="AB19:AJ19"/>
    <mergeCell ref="AK19:AL19"/>
    <mergeCell ref="AM19:AN19"/>
    <mergeCell ref="AO19:AP19"/>
    <mergeCell ref="AQ19:AR19"/>
    <mergeCell ref="AS19:AT19"/>
    <mergeCell ref="AU19:AV19"/>
    <mergeCell ref="AW17:AX17"/>
    <mergeCell ref="AY19:AZ19"/>
    <mergeCell ref="BA17:BB17"/>
    <mergeCell ref="AB18:AJ18"/>
    <mergeCell ref="AK18:AL18"/>
    <mergeCell ref="AM18:AN18"/>
    <mergeCell ref="AO18:AP18"/>
    <mergeCell ref="AQ18:AR18"/>
    <mergeCell ref="AS18:AT18"/>
    <mergeCell ref="AU18:AV18"/>
    <mergeCell ref="AY18:AZ18"/>
    <mergeCell ref="BA16:BB16"/>
    <mergeCell ref="AB17:AJ17"/>
    <mergeCell ref="AK17:AL17"/>
    <mergeCell ref="AM17:AN17"/>
    <mergeCell ref="AO17:AP17"/>
    <mergeCell ref="AQ17:AR17"/>
    <mergeCell ref="AS17:AT17"/>
    <mergeCell ref="AU17:AV17"/>
    <mergeCell ref="AY17:AZ17"/>
    <mergeCell ref="L45:S45"/>
    <mergeCell ref="T45:AA45"/>
    <mergeCell ref="BA13:BB13"/>
    <mergeCell ref="AB13:AJ13"/>
    <mergeCell ref="AK13:AL13"/>
    <mergeCell ref="AM13:AN13"/>
    <mergeCell ref="AO13:AP13"/>
    <mergeCell ref="AY13:AZ13"/>
    <mergeCell ref="P43:Q43"/>
    <mergeCell ref="R43:S43"/>
    <mergeCell ref="AB12:AJ12"/>
    <mergeCell ref="AK12:AL12"/>
    <mergeCell ref="AM12:AN12"/>
    <mergeCell ref="AO12:AP12"/>
    <mergeCell ref="AS12:AT12"/>
    <mergeCell ref="AU12:AV12"/>
    <mergeCell ref="BA12:BB12"/>
    <mergeCell ref="AQ11:AR11"/>
    <mergeCell ref="AS11:AT11"/>
    <mergeCell ref="AU11:AV11"/>
    <mergeCell ref="BA10:BB10"/>
    <mergeCell ref="V42:W42"/>
    <mergeCell ref="X42:Y42"/>
    <mergeCell ref="Z42:AA42"/>
    <mergeCell ref="X41:Y41"/>
    <mergeCell ref="Z41:AA41"/>
    <mergeCell ref="V40:W40"/>
    <mergeCell ref="X40:Y40"/>
    <mergeCell ref="AW11:AX11"/>
    <mergeCell ref="AY11:AZ11"/>
    <mergeCell ref="A43:I43"/>
    <mergeCell ref="J43:K43"/>
    <mergeCell ref="L43:M43"/>
    <mergeCell ref="N43:O43"/>
    <mergeCell ref="T43:U43"/>
    <mergeCell ref="V41:W41"/>
    <mergeCell ref="P42:Q42"/>
    <mergeCell ref="R42:S42"/>
    <mergeCell ref="T42:U42"/>
    <mergeCell ref="P41:Q41"/>
    <mergeCell ref="R41:S41"/>
    <mergeCell ref="T41:U41"/>
    <mergeCell ref="A42:I42"/>
    <mergeCell ref="J42:K42"/>
    <mergeCell ref="L42:M42"/>
    <mergeCell ref="N42:O42"/>
    <mergeCell ref="A41:I41"/>
    <mergeCell ref="J41:K41"/>
    <mergeCell ref="L41:M41"/>
    <mergeCell ref="N41:O41"/>
    <mergeCell ref="A40:I40"/>
    <mergeCell ref="J40:K40"/>
    <mergeCell ref="L40:M40"/>
    <mergeCell ref="N40:O40"/>
    <mergeCell ref="P40:Q40"/>
    <mergeCell ref="R40:S40"/>
    <mergeCell ref="T40:U40"/>
    <mergeCell ref="AB11:AJ11"/>
    <mergeCell ref="V39:W39"/>
    <mergeCell ref="X39:Y39"/>
    <mergeCell ref="Z39:AA39"/>
    <mergeCell ref="P39:Q39"/>
    <mergeCell ref="R39:S39"/>
    <mergeCell ref="T39:U39"/>
    <mergeCell ref="AW10:AX10"/>
    <mergeCell ref="AY10:AZ10"/>
    <mergeCell ref="AQ10:AR10"/>
    <mergeCell ref="AS10:AT10"/>
    <mergeCell ref="AU10:AV10"/>
    <mergeCell ref="AB10:AJ10"/>
    <mergeCell ref="AK10:AL10"/>
    <mergeCell ref="AM10:AN10"/>
    <mergeCell ref="AO10:AP10"/>
    <mergeCell ref="AK11:AL11"/>
    <mergeCell ref="AM11:AN11"/>
    <mergeCell ref="AO11:AP11"/>
    <mergeCell ref="AQ9:AR9"/>
    <mergeCell ref="AS9:AT9"/>
    <mergeCell ref="AU9:AV9"/>
    <mergeCell ref="BA9:BB9"/>
    <mergeCell ref="AW9:AX9"/>
    <mergeCell ref="AY9:AZ9"/>
    <mergeCell ref="AB9:AJ9"/>
    <mergeCell ref="AK9:AL9"/>
    <mergeCell ref="AM9:AN9"/>
    <mergeCell ref="AO9:AP9"/>
    <mergeCell ref="AU8:AV8"/>
    <mergeCell ref="AW8:AX8"/>
    <mergeCell ref="AY8:AZ8"/>
    <mergeCell ref="BA8:BB8"/>
    <mergeCell ref="AY7:AZ7"/>
    <mergeCell ref="BA7:BB7"/>
    <mergeCell ref="AK7:AL7"/>
    <mergeCell ref="AM7:AN7"/>
    <mergeCell ref="AO7:AP7"/>
    <mergeCell ref="AQ7:AR7"/>
    <mergeCell ref="AS7:AT7"/>
    <mergeCell ref="AU7:AV7"/>
    <mergeCell ref="X37:Y37"/>
    <mergeCell ref="Z37:AA37"/>
    <mergeCell ref="AB7:AJ7"/>
    <mergeCell ref="AW7:AX7"/>
    <mergeCell ref="AB8:AJ8"/>
    <mergeCell ref="AK8:AL8"/>
    <mergeCell ref="AM8:AN8"/>
    <mergeCell ref="AO8:AP8"/>
    <mergeCell ref="AQ8:AR8"/>
    <mergeCell ref="AS8:AT8"/>
    <mergeCell ref="A39:I39"/>
    <mergeCell ref="J39:K39"/>
    <mergeCell ref="L39:M39"/>
    <mergeCell ref="N39:O39"/>
    <mergeCell ref="A38:I38"/>
    <mergeCell ref="J38:K38"/>
    <mergeCell ref="L38:M38"/>
    <mergeCell ref="N38:O38"/>
    <mergeCell ref="N37:O37"/>
    <mergeCell ref="P37:Q37"/>
    <mergeCell ref="R37:S37"/>
    <mergeCell ref="T37:U37"/>
    <mergeCell ref="AY5:AZ5"/>
    <mergeCell ref="AW6:AX6"/>
    <mergeCell ref="AY6:AZ6"/>
    <mergeCell ref="P38:Q38"/>
    <mergeCell ref="R38:S38"/>
    <mergeCell ref="T38:U38"/>
    <mergeCell ref="V38:W38"/>
    <mergeCell ref="X38:Y38"/>
    <mergeCell ref="Z38:AA38"/>
    <mergeCell ref="V37:W37"/>
    <mergeCell ref="BA5:BB5"/>
    <mergeCell ref="AB6:AJ6"/>
    <mergeCell ref="AK6:AL6"/>
    <mergeCell ref="AM6:AN6"/>
    <mergeCell ref="AO6:AP6"/>
    <mergeCell ref="AQ6:AR6"/>
    <mergeCell ref="AS6:AT6"/>
    <mergeCell ref="AU6:AV6"/>
    <mergeCell ref="BA6:BB6"/>
    <mergeCell ref="AW5:AX5"/>
    <mergeCell ref="AW4:AX4"/>
    <mergeCell ref="AY4:AZ4"/>
    <mergeCell ref="BA4:BB4"/>
    <mergeCell ref="AB5:AJ5"/>
    <mergeCell ref="AK5:AL5"/>
    <mergeCell ref="AM5:AN5"/>
    <mergeCell ref="AO5:AP5"/>
    <mergeCell ref="AQ5:AR5"/>
    <mergeCell ref="AS5:AT5"/>
    <mergeCell ref="AU5:AV5"/>
    <mergeCell ref="X30:Y30"/>
    <mergeCell ref="Z30:AA30"/>
    <mergeCell ref="AW3:AX3"/>
    <mergeCell ref="AY3:AZ3"/>
    <mergeCell ref="Z26:AA26"/>
    <mergeCell ref="X25:Y25"/>
    <mergeCell ref="Z25:AA25"/>
    <mergeCell ref="X20:Y20"/>
    <mergeCell ref="Z20:AA20"/>
    <mergeCell ref="X18:Y18"/>
    <mergeCell ref="BA3:BB3"/>
    <mergeCell ref="A29:K29"/>
    <mergeCell ref="L29:S29"/>
    <mergeCell ref="T29:AA29"/>
    <mergeCell ref="Z27:AA27"/>
    <mergeCell ref="J27:K27"/>
    <mergeCell ref="T27:U27"/>
    <mergeCell ref="V27:W27"/>
    <mergeCell ref="V26:W26"/>
    <mergeCell ref="X26:Y26"/>
    <mergeCell ref="A30:I30"/>
    <mergeCell ref="J30:K30"/>
    <mergeCell ref="L30:M30"/>
    <mergeCell ref="N30:O30"/>
    <mergeCell ref="P30:Q30"/>
    <mergeCell ref="R30:S30"/>
    <mergeCell ref="T30:U30"/>
    <mergeCell ref="X27:Y27"/>
    <mergeCell ref="L28:S28"/>
    <mergeCell ref="T28:AA28"/>
    <mergeCell ref="L27:M27"/>
    <mergeCell ref="N27:O27"/>
    <mergeCell ref="P27:Q27"/>
    <mergeCell ref="R27:S27"/>
    <mergeCell ref="A26:I26"/>
    <mergeCell ref="J26:K26"/>
    <mergeCell ref="L26:M26"/>
    <mergeCell ref="N26:O26"/>
    <mergeCell ref="P26:Q26"/>
    <mergeCell ref="R26:S26"/>
    <mergeCell ref="T26:U26"/>
    <mergeCell ref="V25:W25"/>
    <mergeCell ref="X24:Y24"/>
    <mergeCell ref="Z24:AA24"/>
    <mergeCell ref="A25:I25"/>
    <mergeCell ref="J25:K25"/>
    <mergeCell ref="L25:M25"/>
    <mergeCell ref="N25:O25"/>
    <mergeCell ref="P25:Q25"/>
    <mergeCell ref="R25:S25"/>
    <mergeCell ref="T25:U25"/>
    <mergeCell ref="X23:Y23"/>
    <mergeCell ref="Z23:AA23"/>
    <mergeCell ref="A24:I24"/>
    <mergeCell ref="J24:K24"/>
    <mergeCell ref="L24:M24"/>
    <mergeCell ref="N24:O24"/>
    <mergeCell ref="P24:Q24"/>
    <mergeCell ref="R24:S24"/>
    <mergeCell ref="T24:U24"/>
    <mergeCell ref="V24:W24"/>
    <mergeCell ref="X22:Y22"/>
    <mergeCell ref="Z22:AA22"/>
    <mergeCell ref="A23:I23"/>
    <mergeCell ref="J23:K23"/>
    <mergeCell ref="L23:M23"/>
    <mergeCell ref="N23:O23"/>
    <mergeCell ref="P23:Q23"/>
    <mergeCell ref="R23:S23"/>
    <mergeCell ref="T23:U23"/>
    <mergeCell ref="V23:W23"/>
    <mergeCell ref="X21:Y21"/>
    <mergeCell ref="Z21:AA21"/>
    <mergeCell ref="A22:I22"/>
    <mergeCell ref="J22:K22"/>
    <mergeCell ref="L22:M22"/>
    <mergeCell ref="N22:O22"/>
    <mergeCell ref="P22:Q22"/>
    <mergeCell ref="R22:S22"/>
    <mergeCell ref="T22:U22"/>
    <mergeCell ref="V22:W22"/>
    <mergeCell ref="A21:I21"/>
    <mergeCell ref="J21:K21"/>
    <mergeCell ref="L21:M21"/>
    <mergeCell ref="N21:O21"/>
    <mergeCell ref="P21:Q21"/>
    <mergeCell ref="R21:S21"/>
    <mergeCell ref="T21:U21"/>
    <mergeCell ref="V20:W20"/>
    <mergeCell ref="V21:W21"/>
    <mergeCell ref="X19:Y19"/>
    <mergeCell ref="Z19:AA19"/>
    <mergeCell ref="A20:I20"/>
    <mergeCell ref="J20:K20"/>
    <mergeCell ref="L20:M20"/>
    <mergeCell ref="N20:O20"/>
    <mergeCell ref="P20:Q20"/>
    <mergeCell ref="R20:S20"/>
    <mergeCell ref="T20:U20"/>
    <mergeCell ref="A19:I19"/>
    <mergeCell ref="J19:K19"/>
    <mergeCell ref="L19:M19"/>
    <mergeCell ref="N19:O19"/>
    <mergeCell ref="P19:Q19"/>
    <mergeCell ref="R19:S19"/>
    <mergeCell ref="T19:U19"/>
    <mergeCell ref="V18:W18"/>
    <mergeCell ref="P18:Q18"/>
    <mergeCell ref="R18:S18"/>
    <mergeCell ref="T18:U18"/>
    <mergeCell ref="V19:W19"/>
    <mergeCell ref="Z18:AA18"/>
    <mergeCell ref="V17:W17"/>
    <mergeCell ref="X17:Y17"/>
    <mergeCell ref="Z17:AA17"/>
    <mergeCell ref="A18:I18"/>
    <mergeCell ref="J18:K18"/>
    <mergeCell ref="L18:M18"/>
    <mergeCell ref="N18:O18"/>
    <mergeCell ref="V16:W16"/>
    <mergeCell ref="X16:Y16"/>
    <mergeCell ref="Z16:AA16"/>
    <mergeCell ref="A17:I17"/>
    <mergeCell ref="J17:K17"/>
    <mergeCell ref="L17:M17"/>
    <mergeCell ref="N17:O17"/>
    <mergeCell ref="P17:Q17"/>
    <mergeCell ref="R17:S17"/>
    <mergeCell ref="T17:U17"/>
    <mergeCell ref="V15:W15"/>
    <mergeCell ref="X15:Y15"/>
    <mergeCell ref="Z15:AA15"/>
    <mergeCell ref="A16:I16"/>
    <mergeCell ref="J16:K16"/>
    <mergeCell ref="L16:M16"/>
    <mergeCell ref="N16:O16"/>
    <mergeCell ref="P16:Q16"/>
    <mergeCell ref="R16:S16"/>
    <mergeCell ref="T16:U16"/>
    <mergeCell ref="V14:W14"/>
    <mergeCell ref="X14:Y14"/>
    <mergeCell ref="Z14:AA14"/>
    <mergeCell ref="A15:I15"/>
    <mergeCell ref="J15:K15"/>
    <mergeCell ref="L15:M15"/>
    <mergeCell ref="N15:O15"/>
    <mergeCell ref="P15:Q15"/>
    <mergeCell ref="R15:S15"/>
    <mergeCell ref="T15:U15"/>
    <mergeCell ref="V13:W13"/>
    <mergeCell ref="X13:Y13"/>
    <mergeCell ref="Z13:AA13"/>
    <mergeCell ref="A14:I14"/>
    <mergeCell ref="J14:K14"/>
    <mergeCell ref="L14:M14"/>
    <mergeCell ref="N14:O14"/>
    <mergeCell ref="P14:Q14"/>
    <mergeCell ref="R14:S14"/>
    <mergeCell ref="T14:U14"/>
    <mergeCell ref="V12:W12"/>
    <mergeCell ref="X12:Y12"/>
    <mergeCell ref="Z12:AA12"/>
    <mergeCell ref="A13:I13"/>
    <mergeCell ref="J13:K13"/>
    <mergeCell ref="L13:M13"/>
    <mergeCell ref="N13:O13"/>
    <mergeCell ref="P13:Q13"/>
    <mergeCell ref="R13:S13"/>
    <mergeCell ref="T13:U13"/>
    <mergeCell ref="V11:W11"/>
    <mergeCell ref="X11:Y11"/>
    <mergeCell ref="Z11:AA11"/>
    <mergeCell ref="A12:I12"/>
    <mergeCell ref="J12:K12"/>
    <mergeCell ref="L12:M12"/>
    <mergeCell ref="N12:O12"/>
    <mergeCell ref="P12:Q12"/>
    <mergeCell ref="R12:S12"/>
    <mergeCell ref="T12:U12"/>
    <mergeCell ref="V10:W10"/>
    <mergeCell ref="X10:Y10"/>
    <mergeCell ref="Z10:AA10"/>
    <mergeCell ref="A11:I11"/>
    <mergeCell ref="J11:K11"/>
    <mergeCell ref="L11:M11"/>
    <mergeCell ref="N11:O11"/>
    <mergeCell ref="P11:Q11"/>
    <mergeCell ref="R11:S11"/>
    <mergeCell ref="T11:U11"/>
    <mergeCell ref="V9:W9"/>
    <mergeCell ref="X9:Y9"/>
    <mergeCell ref="Z9:AA9"/>
    <mergeCell ref="A10:I10"/>
    <mergeCell ref="J10:K10"/>
    <mergeCell ref="L10:M10"/>
    <mergeCell ref="N10:O10"/>
    <mergeCell ref="P10:Q10"/>
    <mergeCell ref="R10:S10"/>
    <mergeCell ref="T10:U10"/>
    <mergeCell ref="V8:W8"/>
    <mergeCell ref="X8:Y8"/>
    <mergeCell ref="Z8:AA8"/>
    <mergeCell ref="A9:I9"/>
    <mergeCell ref="J9:K9"/>
    <mergeCell ref="L9:M9"/>
    <mergeCell ref="N9:O9"/>
    <mergeCell ref="P9:Q9"/>
    <mergeCell ref="R9:S9"/>
    <mergeCell ref="T9:U9"/>
    <mergeCell ref="V7:W7"/>
    <mergeCell ref="X7:Y7"/>
    <mergeCell ref="Z7:AA7"/>
    <mergeCell ref="A8:I8"/>
    <mergeCell ref="J8:K8"/>
    <mergeCell ref="L8:M8"/>
    <mergeCell ref="N8:O8"/>
    <mergeCell ref="P8:Q8"/>
    <mergeCell ref="R8:S8"/>
    <mergeCell ref="T8:U8"/>
    <mergeCell ref="V6:W6"/>
    <mergeCell ref="X6:Y6"/>
    <mergeCell ref="Z6:AA6"/>
    <mergeCell ref="A7:I7"/>
    <mergeCell ref="J7:K7"/>
    <mergeCell ref="L7:M7"/>
    <mergeCell ref="N7:O7"/>
    <mergeCell ref="P7:Q7"/>
    <mergeCell ref="R7:S7"/>
    <mergeCell ref="T7:U7"/>
    <mergeCell ref="V5:W5"/>
    <mergeCell ref="X5:Y5"/>
    <mergeCell ref="Z5:AA5"/>
    <mergeCell ref="A6:I6"/>
    <mergeCell ref="J6:K6"/>
    <mergeCell ref="L6:M6"/>
    <mergeCell ref="N6:O6"/>
    <mergeCell ref="P6:Q6"/>
    <mergeCell ref="R6:S6"/>
    <mergeCell ref="T6:U6"/>
    <mergeCell ref="V4:W4"/>
    <mergeCell ref="X4:Y4"/>
    <mergeCell ref="Z4:AA4"/>
    <mergeCell ref="A5:I5"/>
    <mergeCell ref="J5:K5"/>
    <mergeCell ref="L5:M5"/>
    <mergeCell ref="N5:O5"/>
    <mergeCell ref="P5:Q5"/>
    <mergeCell ref="R5:S5"/>
    <mergeCell ref="T5:U5"/>
    <mergeCell ref="V3:W3"/>
    <mergeCell ref="X3:Y3"/>
    <mergeCell ref="Z3:AA3"/>
    <mergeCell ref="A4:I4"/>
    <mergeCell ref="J4:K4"/>
    <mergeCell ref="L4:M4"/>
    <mergeCell ref="N4:O4"/>
    <mergeCell ref="P4:Q4"/>
    <mergeCell ref="R4:S4"/>
    <mergeCell ref="T4:U4"/>
    <mergeCell ref="V2:W2"/>
    <mergeCell ref="X2:Y2"/>
    <mergeCell ref="Z2:AA2"/>
    <mergeCell ref="A3:I3"/>
    <mergeCell ref="J3:K3"/>
    <mergeCell ref="L3:M3"/>
    <mergeCell ref="N3:O3"/>
    <mergeCell ref="P3:Q3"/>
    <mergeCell ref="R3:S3"/>
    <mergeCell ref="T3:U3"/>
    <mergeCell ref="A1:K1"/>
    <mergeCell ref="L1:S1"/>
    <mergeCell ref="T1:AA1"/>
    <mergeCell ref="A2:I2"/>
    <mergeCell ref="J2:K2"/>
    <mergeCell ref="L2:M2"/>
    <mergeCell ref="N2:O2"/>
    <mergeCell ref="P2:Q2"/>
    <mergeCell ref="R2:S2"/>
    <mergeCell ref="T2:U2"/>
    <mergeCell ref="R31:S31"/>
    <mergeCell ref="T31:U31"/>
    <mergeCell ref="V31:W31"/>
    <mergeCell ref="A31:I31"/>
    <mergeCell ref="J31:K31"/>
    <mergeCell ref="L31:M31"/>
    <mergeCell ref="N31:O31"/>
    <mergeCell ref="X31:Y31"/>
    <mergeCell ref="Z31:AA31"/>
    <mergeCell ref="A32:I32"/>
    <mergeCell ref="J32:K32"/>
    <mergeCell ref="L32:M32"/>
    <mergeCell ref="T32:U32"/>
    <mergeCell ref="V32:W32"/>
    <mergeCell ref="X32:Y32"/>
    <mergeCell ref="Z32:AA32"/>
    <mergeCell ref="P31:Q31"/>
    <mergeCell ref="A34:I34"/>
    <mergeCell ref="J34:K34"/>
    <mergeCell ref="L34:M34"/>
    <mergeCell ref="T34:U34"/>
    <mergeCell ref="V34:W34"/>
    <mergeCell ref="X34:Y34"/>
    <mergeCell ref="Z34:AA34"/>
    <mergeCell ref="A33:I33"/>
    <mergeCell ref="J33:K33"/>
    <mergeCell ref="L33:M33"/>
    <mergeCell ref="T33:U33"/>
    <mergeCell ref="V33:W33"/>
    <mergeCell ref="X33:Y33"/>
    <mergeCell ref="Z33:AA33"/>
    <mergeCell ref="A35:I35"/>
    <mergeCell ref="J35:K35"/>
    <mergeCell ref="L35:M35"/>
    <mergeCell ref="N35:O35"/>
    <mergeCell ref="P35:Q35"/>
    <mergeCell ref="R35:S35"/>
    <mergeCell ref="T35:U35"/>
    <mergeCell ref="V35:W35"/>
    <mergeCell ref="X35:Y35"/>
    <mergeCell ref="N32:S34"/>
    <mergeCell ref="A51:I51"/>
    <mergeCell ref="J51:K51"/>
    <mergeCell ref="L51:M51"/>
    <mergeCell ref="N51:O51"/>
    <mergeCell ref="P51:Q51"/>
    <mergeCell ref="R51:S51"/>
    <mergeCell ref="A37:I37"/>
    <mergeCell ref="J37:K37"/>
    <mergeCell ref="L37:M37"/>
    <mergeCell ref="Z35:AA35"/>
    <mergeCell ref="A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62:I62"/>
    <mergeCell ref="J62:K62"/>
    <mergeCell ref="L62:M62"/>
    <mergeCell ref="N62:O62"/>
    <mergeCell ref="P62:Q62"/>
    <mergeCell ref="R62:S62"/>
    <mergeCell ref="T62:U62"/>
    <mergeCell ref="V62:W62"/>
    <mergeCell ref="A44:I45"/>
    <mergeCell ref="Z51:AA51"/>
    <mergeCell ref="T51:U51"/>
    <mergeCell ref="V51:W51"/>
    <mergeCell ref="A47:I47"/>
    <mergeCell ref="J47:K47"/>
    <mergeCell ref="R44:S44"/>
    <mergeCell ref="L47:M47"/>
    <mergeCell ref="N47:O47"/>
    <mergeCell ref="P47:Q4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33"/>
  <sheetViews>
    <sheetView workbookViewId="0" topLeftCell="A1">
      <selection activeCell="E1" sqref="E1"/>
    </sheetView>
  </sheetViews>
  <sheetFormatPr defaultColWidth="9.00390625" defaultRowHeight="12.75"/>
  <sheetData>
    <row r="2" spans="1:22" ht="12.75">
      <c r="A2" t="s">
        <v>174</v>
      </c>
      <c r="B2" t="s">
        <v>175</v>
      </c>
      <c r="C2" t="s">
        <v>174</v>
      </c>
      <c r="D2" t="s">
        <v>149</v>
      </c>
      <c r="G2">
        <v>1000000</v>
      </c>
      <c r="I2" t="s">
        <v>176</v>
      </c>
      <c r="J2" t="s">
        <v>177</v>
      </c>
      <c r="K2" t="s">
        <v>178</v>
      </c>
      <c r="L2" t="s">
        <v>33</v>
      </c>
      <c r="M2">
        <v>0.1</v>
      </c>
      <c r="N2" t="s">
        <v>179</v>
      </c>
      <c r="O2" t="s">
        <v>149</v>
      </c>
      <c r="R2" s="16" t="s">
        <v>180</v>
      </c>
      <c r="S2" t="s">
        <v>154</v>
      </c>
      <c r="T2" t="s">
        <v>194</v>
      </c>
      <c r="U2" t="s">
        <v>177</v>
      </c>
      <c r="V2" t="s">
        <v>195</v>
      </c>
    </row>
    <row r="3" spans="1:22" ht="12.75">
      <c r="A3">
        <v>30</v>
      </c>
      <c r="B3">
        <f>30-A3</f>
        <v>0</v>
      </c>
      <c r="C3">
        <f>(100+A3)/(100-B3)*100-100</f>
        <v>30</v>
      </c>
      <c r="D3">
        <f>(B3+A3)/(100+A3)*100</f>
        <v>23.076923076923077</v>
      </c>
      <c r="E3">
        <f>D3-$D$3</f>
        <v>0</v>
      </c>
      <c r="F3">
        <f>0.005*B3</f>
        <v>0</v>
      </c>
      <c r="G3" t="s">
        <v>329</v>
      </c>
      <c r="H3" t="s">
        <v>330</v>
      </c>
      <c r="I3">
        <f>$G$2*(100+C3)/100</f>
        <v>1300000</v>
      </c>
      <c r="J3">
        <f>$G$2*E3/100</f>
        <v>0</v>
      </c>
      <c r="K3">
        <f>J3*$M$2</f>
        <v>0</v>
      </c>
      <c r="L3">
        <f>K3/I3*100</f>
        <v>0</v>
      </c>
      <c r="N3">
        <v>0.1</v>
      </c>
      <c r="R3" s="16">
        <v>0.1</v>
      </c>
      <c r="S3" s="17">
        <f>I3*R3/100</f>
        <v>1300</v>
      </c>
      <c r="T3">
        <f>S3/$S$3</f>
        <v>1</v>
      </c>
      <c r="U3">
        <f>E3-R3</f>
        <v>-0.1</v>
      </c>
      <c r="V3">
        <f>U3+0.1</f>
        <v>0</v>
      </c>
    </row>
    <row r="4" spans="1:22" ht="12.75">
      <c r="A4">
        <f>A3-1</f>
        <v>29</v>
      </c>
      <c r="B4">
        <f>30-A4</f>
        <v>1</v>
      </c>
      <c r="C4">
        <f aca="true" t="shared" si="0" ref="C4:C33">(100+A4)/(100-B4)*100-100</f>
        <v>30.30303030303031</v>
      </c>
      <c r="D4">
        <f aca="true" t="shared" si="1" ref="D4:D33">(B4+A4)/(100+A4)*100</f>
        <v>23.25581395348837</v>
      </c>
      <c r="E4">
        <f aca="true" t="shared" si="2" ref="E4:E33">D4-$D$3</f>
        <v>0.17889087656529412</v>
      </c>
      <c r="F4">
        <f aca="true" t="shared" si="3" ref="F4:F33">0.005*B4</f>
        <v>0.005</v>
      </c>
      <c r="G4">
        <f>D4-D3</f>
        <v>0.17889087656529412</v>
      </c>
      <c r="H4">
        <f>G4</f>
        <v>0.17889087656529412</v>
      </c>
      <c r="I4">
        <f aca="true" t="shared" si="4" ref="I4:I33">$G$2*(100+C4)/100</f>
        <v>1303030.3030303032</v>
      </c>
      <c r="J4">
        <f aca="true" t="shared" si="5" ref="J4:J33">$G$2*E4/100</f>
        <v>1788.9087656529412</v>
      </c>
      <c r="K4">
        <f aca="true" t="shared" si="6" ref="K4:K33">J4*$M$2</f>
        <v>178.89087656529412</v>
      </c>
      <c r="L4">
        <f aca="true" t="shared" si="7" ref="L4:L33">K4/I4*100</f>
        <v>0.013728834713150478</v>
      </c>
      <c r="N4" s="18">
        <f>0.015*B4</f>
        <v>0.015</v>
      </c>
      <c r="O4">
        <f>I4*N4/100</f>
        <v>195.45454545454547</v>
      </c>
      <c r="Q4" s="17">
        <f>$N$3+N4/3</f>
        <v>0.10500000000000001</v>
      </c>
      <c r="R4" s="16">
        <f>Q4</f>
        <v>0.10500000000000001</v>
      </c>
      <c r="S4">
        <f aca="true" t="shared" si="8" ref="S4:S33">I4*R4/100</f>
        <v>1368.1818181818185</v>
      </c>
      <c r="T4">
        <f aca="true" t="shared" si="9" ref="T4:T33">S4/$S$3</f>
        <v>1.0524475524475527</v>
      </c>
      <c r="U4">
        <f aca="true" t="shared" si="10" ref="U4:U33">E4-R4</f>
        <v>0.07389087656529411</v>
      </c>
      <c r="V4">
        <f aca="true" t="shared" si="11" ref="V4:V33">U4+0.1</f>
        <v>0.17389087656529412</v>
      </c>
    </row>
    <row r="5" spans="1:22" ht="12.75">
      <c r="A5">
        <f aca="true" t="shared" si="12" ref="A5:A28">A4-1</f>
        <v>28</v>
      </c>
      <c r="B5">
        <f aca="true" t="shared" si="13" ref="B5:B33">30-A5</f>
        <v>2</v>
      </c>
      <c r="C5">
        <f t="shared" si="0"/>
        <v>30.612244897959187</v>
      </c>
      <c r="D5">
        <f t="shared" si="1"/>
        <v>23.4375</v>
      </c>
      <c r="E5">
        <f t="shared" si="2"/>
        <v>0.36057692307692335</v>
      </c>
      <c r="F5">
        <f t="shared" si="3"/>
        <v>0.01</v>
      </c>
      <c r="G5">
        <f>D5-D4</f>
        <v>0.18168604651162923</v>
      </c>
      <c r="H5">
        <f>H4+G5</f>
        <v>0.36057692307692335</v>
      </c>
      <c r="I5">
        <f t="shared" si="4"/>
        <v>1306122.448979592</v>
      </c>
      <c r="J5">
        <f t="shared" si="5"/>
        <v>3605.7692307692337</v>
      </c>
      <c r="K5">
        <f t="shared" si="6"/>
        <v>360.5769230769234</v>
      </c>
      <c r="L5">
        <f t="shared" si="7"/>
        <v>0.027606670673076945</v>
      </c>
      <c r="N5">
        <f aca="true" t="shared" si="14" ref="N5:N33">0.015*B5</f>
        <v>0.03</v>
      </c>
      <c r="O5">
        <f aca="true" t="shared" si="15" ref="O5:O33">I5*N5/100</f>
        <v>391.8367346938776</v>
      </c>
      <c r="Q5" s="17">
        <f aca="true" t="shared" si="16" ref="Q5:Q33">$N$3+N5/3</f>
        <v>0.11</v>
      </c>
      <c r="R5" s="16">
        <f aca="true" t="shared" si="17" ref="R5:R13">Q5</f>
        <v>0.11</v>
      </c>
      <c r="S5">
        <f t="shared" si="8"/>
        <v>1436.734693877551</v>
      </c>
      <c r="T5">
        <f t="shared" si="9"/>
        <v>1.1051805337519625</v>
      </c>
      <c r="U5">
        <f t="shared" si="10"/>
        <v>0.25057692307692336</v>
      </c>
      <c r="V5">
        <f t="shared" si="11"/>
        <v>0.35057692307692334</v>
      </c>
    </row>
    <row r="6" spans="1:22" ht="12.75">
      <c r="A6">
        <f t="shared" si="12"/>
        <v>27</v>
      </c>
      <c r="B6">
        <f t="shared" si="13"/>
        <v>3</v>
      </c>
      <c r="C6">
        <f t="shared" si="0"/>
        <v>30.927835051546396</v>
      </c>
      <c r="D6">
        <f t="shared" si="1"/>
        <v>23.62204724409449</v>
      </c>
      <c r="E6">
        <f t="shared" si="2"/>
        <v>0.5451241671714122</v>
      </c>
      <c r="F6">
        <f t="shared" si="3"/>
        <v>0.015</v>
      </c>
      <c r="G6">
        <f aca="true" t="shared" si="18" ref="G6:G33">D6-D5</f>
        <v>0.18454724409448886</v>
      </c>
      <c r="H6">
        <f aca="true" t="shared" si="19" ref="H6:H33">H5+G6</f>
        <v>0.5451241671714122</v>
      </c>
      <c r="I6">
        <f t="shared" si="4"/>
        <v>1309278.3505154639</v>
      </c>
      <c r="J6">
        <f t="shared" si="5"/>
        <v>5451.241671714122</v>
      </c>
      <c r="K6">
        <f t="shared" si="6"/>
        <v>545.1241671714123</v>
      </c>
      <c r="L6">
        <f t="shared" si="7"/>
        <v>0.04163546788632047</v>
      </c>
      <c r="N6">
        <f t="shared" si="14"/>
        <v>0.045</v>
      </c>
      <c r="O6">
        <f t="shared" si="15"/>
        <v>589.1752577319587</v>
      </c>
      <c r="Q6" s="17">
        <f t="shared" si="16"/>
        <v>0.115</v>
      </c>
      <c r="R6" s="16">
        <f t="shared" si="17"/>
        <v>0.115</v>
      </c>
      <c r="S6">
        <f t="shared" si="8"/>
        <v>1505.6701030927836</v>
      </c>
      <c r="T6">
        <f t="shared" si="9"/>
        <v>1.1582077716098336</v>
      </c>
      <c r="U6">
        <f t="shared" si="10"/>
        <v>0.4301241671714122</v>
      </c>
      <c r="V6">
        <f t="shared" si="11"/>
        <v>0.5301241671714122</v>
      </c>
    </row>
    <row r="7" spans="1:22" ht="13.5" thickBot="1">
      <c r="A7">
        <f t="shared" si="12"/>
        <v>26</v>
      </c>
      <c r="B7">
        <f t="shared" si="13"/>
        <v>4</v>
      </c>
      <c r="C7">
        <f t="shared" si="0"/>
        <v>31.25</v>
      </c>
      <c r="D7">
        <f t="shared" si="1"/>
        <v>23.809523809523807</v>
      </c>
      <c r="E7">
        <f t="shared" si="2"/>
        <v>0.73260073260073</v>
      </c>
      <c r="F7">
        <f t="shared" si="3"/>
        <v>0.02</v>
      </c>
      <c r="G7">
        <f t="shared" si="18"/>
        <v>0.1874765654293178</v>
      </c>
      <c r="H7">
        <f t="shared" si="19"/>
        <v>0.73260073260073</v>
      </c>
      <c r="I7">
        <f t="shared" si="4"/>
        <v>1312500</v>
      </c>
      <c r="J7">
        <f t="shared" si="5"/>
        <v>7326.0073260073</v>
      </c>
      <c r="K7">
        <f t="shared" si="6"/>
        <v>732.6007326007301</v>
      </c>
      <c r="L7">
        <f t="shared" si="7"/>
        <v>0.055817198674341345</v>
      </c>
      <c r="N7">
        <f t="shared" si="14"/>
        <v>0.06</v>
      </c>
      <c r="O7" s="1">
        <f t="shared" si="15"/>
        <v>787.5</v>
      </c>
      <c r="Q7" s="17">
        <f t="shared" si="16"/>
        <v>0.12000000000000001</v>
      </c>
      <c r="R7" s="16">
        <f t="shared" si="17"/>
        <v>0.12000000000000001</v>
      </c>
      <c r="S7">
        <f t="shared" si="8"/>
        <v>1575</v>
      </c>
      <c r="T7">
        <f t="shared" si="9"/>
        <v>1.2115384615384615</v>
      </c>
      <c r="U7">
        <f t="shared" si="10"/>
        <v>0.61260073260073</v>
      </c>
      <c r="V7">
        <f t="shared" si="11"/>
        <v>0.71260073260073</v>
      </c>
    </row>
    <row r="8" spans="1:23" ht="13.5" thickBot="1">
      <c r="A8" s="10">
        <f t="shared" si="12"/>
        <v>25</v>
      </c>
      <c r="B8" s="19">
        <f t="shared" si="13"/>
        <v>5</v>
      </c>
      <c r="C8" s="10">
        <f t="shared" si="0"/>
        <v>31.57894736842107</v>
      </c>
      <c r="D8" s="10">
        <f t="shared" si="1"/>
        <v>24</v>
      </c>
      <c r="E8" s="10">
        <f t="shared" si="2"/>
        <v>0.9230769230769234</v>
      </c>
      <c r="F8" s="10">
        <f t="shared" si="3"/>
        <v>0.025</v>
      </c>
      <c r="G8">
        <f t="shared" si="18"/>
        <v>0.19047619047619335</v>
      </c>
      <c r="H8">
        <f t="shared" si="19"/>
        <v>0.9230769230769234</v>
      </c>
      <c r="I8" s="10">
        <f t="shared" si="4"/>
        <v>1315789.4736842106</v>
      </c>
      <c r="J8" s="10">
        <f t="shared" si="5"/>
        <v>9230.769230769234</v>
      </c>
      <c r="K8">
        <f t="shared" si="6"/>
        <v>923.0769230769234</v>
      </c>
      <c r="L8">
        <f t="shared" si="7"/>
        <v>0.07015384615384618</v>
      </c>
      <c r="M8">
        <v>0.75</v>
      </c>
      <c r="N8">
        <f t="shared" si="14"/>
        <v>0.075</v>
      </c>
      <c r="O8" s="10">
        <f t="shared" si="15"/>
        <v>986.8421052631579</v>
      </c>
      <c r="P8">
        <v>5</v>
      </c>
      <c r="Q8" s="17">
        <f t="shared" si="16"/>
        <v>0.125</v>
      </c>
      <c r="R8" s="16">
        <f t="shared" si="17"/>
        <v>0.125</v>
      </c>
      <c r="S8" s="17">
        <f t="shared" si="8"/>
        <v>1644.7368421052631</v>
      </c>
      <c r="T8">
        <f t="shared" si="9"/>
        <v>1.2651821862348178</v>
      </c>
      <c r="U8">
        <f t="shared" si="10"/>
        <v>0.7980769230769234</v>
      </c>
      <c r="V8">
        <f t="shared" si="11"/>
        <v>0.8980769230769233</v>
      </c>
      <c r="W8" t="s">
        <v>200</v>
      </c>
    </row>
    <row r="9" spans="1:22" ht="12.75">
      <c r="A9">
        <f t="shared" si="12"/>
        <v>24</v>
      </c>
      <c r="B9">
        <f t="shared" si="13"/>
        <v>6</v>
      </c>
      <c r="C9">
        <f t="shared" si="0"/>
        <v>31.914893617021278</v>
      </c>
      <c r="D9">
        <f t="shared" si="1"/>
        <v>24.193548387096776</v>
      </c>
      <c r="E9">
        <f t="shared" si="2"/>
        <v>1.1166253101736991</v>
      </c>
      <c r="F9">
        <f t="shared" si="3"/>
        <v>0.03</v>
      </c>
      <c r="G9">
        <f t="shared" si="18"/>
        <v>0.1935483870967758</v>
      </c>
      <c r="H9">
        <f t="shared" si="19"/>
        <v>1.1166253101736991</v>
      </c>
      <c r="I9">
        <f t="shared" si="4"/>
        <v>1319148.9361702127</v>
      </c>
      <c r="J9">
        <f t="shared" si="5"/>
        <v>11166.253101736991</v>
      </c>
      <c r="K9">
        <f t="shared" si="6"/>
        <v>1116.625310173699</v>
      </c>
      <c r="L9">
        <f t="shared" si="7"/>
        <v>0.08464740254542559</v>
      </c>
      <c r="N9">
        <f t="shared" si="14"/>
        <v>0.09</v>
      </c>
      <c r="O9">
        <f t="shared" si="15"/>
        <v>1187.2340425531913</v>
      </c>
      <c r="Q9" s="17">
        <f t="shared" si="16"/>
        <v>0.13</v>
      </c>
      <c r="R9" s="16">
        <f t="shared" si="17"/>
        <v>0.13</v>
      </c>
      <c r="S9">
        <f t="shared" si="8"/>
        <v>1714.8936170212764</v>
      </c>
      <c r="T9">
        <f t="shared" si="9"/>
        <v>1.3191489361702127</v>
      </c>
      <c r="U9">
        <f t="shared" si="10"/>
        <v>0.9866253101736991</v>
      </c>
      <c r="V9">
        <f t="shared" si="11"/>
        <v>1.0866253101736991</v>
      </c>
    </row>
    <row r="10" spans="1:22" ht="12.75">
      <c r="A10">
        <f t="shared" si="12"/>
        <v>23</v>
      </c>
      <c r="B10">
        <f t="shared" si="13"/>
        <v>7</v>
      </c>
      <c r="C10">
        <f t="shared" si="0"/>
        <v>32.258064516129025</v>
      </c>
      <c r="D10">
        <f t="shared" si="1"/>
        <v>24.390243902439025</v>
      </c>
      <c r="E10">
        <f t="shared" si="2"/>
        <v>1.313320825515948</v>
      </c>
      <c r="F10">
        <f t="shared" si="3"/>
        <v>0.035</v>
      </c>
      <c r="G10">
        <f t="shared" si="18"/>
        <v>0.19669551534224894</v>
      </c>
      <c r="H10">
        <f t="shared" si="19"/>
        <v>1.313320825515948</v>
      </c>
      <c r="I10">
        <f t="shared" si="4"/>
        <v>1322580.6451612904</v>
      </c>
      <c r="J10">
        <f t="shared" si="5"/>
        <v>13133.20825515948</v>
      </c>
      <c r="K10">
        <f t="shared" si="6"/>
        <v>1313.320825515948</v>
      </c>
      <c r="L10">
        <f t="shared" si="7"/>
        <v>0.09929986729510826</v>
      </c>
      <c r="N10">
        <f t="shared" si="14"/>
        <v>0.105</v>
      </c>
      <c r="O10">
        <f t="shared" si="15"/>
        <v>1388.7096774193549</v>
      </c>
      <c r="Q10" s="17">
        <f t="shared" si="16"/>
        <v>0.135</v>
      </c>
      <c r="R10" s="16">
        <f t="shared" si="17"/>
        <v>0.135</v>
      </c>
      <c r="S10">
        <f t="shared" si="8"/>
        <v>1785.4838709677422</v>
      </c>
      <c r="T10">
        <f t="shared" si="9"/>
        <v>1.373449131513648</v>
      </c>
      <c r="U10">
        <f t="shared" si="10"/>
        <v>1.178320825515948</v>
      </c>
      <c r="V10">
        <f t="shared" si="11"/>
        <v>1.2783208255159482</v>
      </c>
    </row>
    <row r="11" spans="1:22" ht="12.75">
      <c r="A11">
        <f t="shared" si="12"/>
        <v>22</v>
      </c>
      <c r="B11">
        <f t="shared" si="13"/>
        <v>8</v>
      </c>
      <c r="C11">
        <f t="shared" si="0"/>
        <v>32.60869565217391</v>
      </c>
      <c r="D11">
        <f t="shared" si="1"/>
        <v>24.59016393442623</v>
      </c>
      <c r="E11">
        <f t="shared" si="2"/>
        <v>1.5132408575031526</v>
      </c>
      <c r="F11">
        <f t="shared" si="3"/>
        <v>0.04</v>
      </c>
      <c r="G11">
        <f t="shared" si="18"/>
        <v>0.19992003198720454</v>
      </c>
      <c r="H11">
        <f t="shared" si="19"/>
        <v>1.5132408575031526</v>
      </c>
      <c r="I11">
        <f t="shared" si="4"/>
        <v>1326086.956521739</v>
      </c>
      <c r="J11">
        <f t="shared" si="5"/>
        <v>15132.408575031526</v>
      </c>
      <c r="K11">
        <f t="shared" si="6"/>
        <v>1513.2408575031527</v>
      </c>
      <c r="L11">
        <f t="shared" si="7"/>
        <v>0.11411324499204104</v>
      </c>
      <c r="N11">
        <f t="shared" si="14"/>
        <v>0.12</v>
      </c>
      <c r="O11">
        <f t="shared" si="15"/>
        <v>1591.3043478260868</v>
      </c>
      <c r="Q11" s="17">
        <f t="shared" si="16"/>
        <v>0.14</v>
      </c>
      <c r="R11" s="16">
        <f t="shared" si="17"/>
        <v>0.14</v>
      </c>
      <c r="S11">
        <f t="shared" si="8"/>
        <v>1856.521739130435</v>
      </c>
      <c r="T11">
        <f t="shared" si="9"/>
        <v>1.42809364548495</v>
      </c>
      <c r="U11">
        <f t="shared" si="10"/>
        <v>1.3732408575031525</v>
      </c>
      <c r="V11">
        <f t="shared" si="11"/>
        <v>1.4732408575031526</v>
      </c>
    </row>
    <row r="12" spans="1:23" ht="13.5" thickBot="1">
      <c r="A12">
        <f t="shared" si="12"/>
        <v>21</v>
      </c>
      <c r="B12">
        <f t="shared" si="13"/>
        <v>9</v>
      </c>
      <c r="C12">
        <f t="shared" si="0"/>
        <v>32.967032967032964</v>
      </c>
      <c r="D12">
        <f t="shared" si="1"/>
        <v>24.793388429752067</v>
      </c>
      <c r="E12">
        <f t="shared" si="2"/>
        <v>1.7164653528289904</v>
      </c>
      <c r="F12">
        <f t="shared" si="3"/>
        <v>0.045</v>
      </c>
      <c r="G12">
        <f t="shared" si="18"/>
        <v>0.20322449532583775</v>
      </c>
      <c r="H12">
        <f t="shared" si="19"/>
        <v>1.7164653528289904</v>
      </c>
      <c r="I12">
        <f t="shared" si="4"/>
        <v>1329670.3296703296</v>
      </c>
      <c r="J12">
        <f t="shared" si="5"/>
        <v>17164.653528289906</v>
      </c>
      <c r="K12">
        <f t="shared" si="6"/>
        <v>1716.4653528289907</v>
      </c>
      <c r="L12">
        <f t="shared" si="7"/>
        <v>0.12908954306399847</v>
      </c>
      <c r="N12">
        <f t="shared" si="14"/>
        <v>0.135</v>
      </c>
      <c r="O12">
        <f t="shared" si="15"/>
        <v>1795.0549450549452</v>
      </c>
      <c r="Q12" s="17">
        <f t="shared" si="16"/>
        <v>0.14500000000000002</v>
      </c>
      <c r="R12" s="16">
        <f t="shared" si="17"/>
        <v>0.14500000000000002</v>
      </c>
      <c r="S12">
        <f t="shared" si="8"/>
        <v>1928.021978021978</v>
      </c>
      <c r="T12">
        <f t="shared" si="9"/>
        <v>1.4830938292476754</v>
      </c>
      <c r="U12">
        <f t="shared" si="10"/>
        <v>1.5714653528289904</v>
      </c>
      <c r="V12">
        <f t="shared" si="11"/>
        <v>1.6714653528289904</v>
      </c>
      <c r="W12" t="s">
        <v>199</v>
      </c>
    </row>
    <row r="13" spans="1:22" ht="13.5" thickBot="1">
      <c r="A13" s="10">
        <f t="shared" si="12"/>
        <v>20</v>
      </c>
      <c r="B13" s="19">
        <f t="shared" si="13"/>
        <v>10</v>
      </c>
      <c r="C13" s="10">
        <f t="shared" si="0"/>
        <v>33.333333333333314</v>
      </c>
      <c r="D13" s="10">
        <f t="shared" si="1"/>
        <v>25</v>
      </c>
      <c r="E13" s="10">
        <f t="shared" si="2"/>
        <v>1.9230769230769234</v>
      </c>
      <c r="F13" s="10">
        <f t="shared" si="3"/>
        <v>0.05</v>
      </c>
      <c r="G13">
        <f t="shared" si="18"/>
        <v>0.20661157024793297</v>
      </c>
      <c r="H13">
        <f t="shared" si="19"/>
        <v>1.9230769230769234</v>
      </c>
      <c r="I13" s="10">
        <f t="shared" si="4"/>
        <v>1333333.333333333</v>
      </c>
      <c r="J13" s="10">
        <f t="shared" si="5"/>
        <v>19230.769230769234</v>
      </c>
      <c r="K13">
        <f t="shared" si="6"/>
        <v>1923.0769230769235</v>
      </c>
      <c r="L13">
        <f t="shared" si="7"/>
        <v>0.1442307692307693</v>
      </c>
      <c r="M13">
        <v>0.15</v>
      </c>
      <c r="N13" s="17">
        <f t="shared" si="14"/>
        <v>0.15</v>
      </c>
      <c r="O13" s="10">
        <f t="shared" si="15"/>
        <v>1999.9999999999993</v>
      </c>
      <c r="P13">
        <v>10</v>
      </c>
      <c r="Q13" s="17">
        <f t="shared" si="16"/>
        <v>0.15</v>
      </c>
      <c r="R13" s="16">
        <f t="shared" si="17"/>
        <v>0.15</v>
      </c>
      <c r="S13" s="17">
        <f t="shared" si="8"/>
        <v>1999.9999999999993</v>
      </c>
      <c r="T13">
        <f t="shared" si="9"/>
        <v>1.5384615384615379</v>
      </c>
      <c r="U13">
        <f t="shared" si="10"/>
        <v>1.7730769230769234</v>
      </c>
      <c r="V13">
        <f t="shared" si="11"/>
        <v>1.8730769230769235</v>
      </c>
    </row>
    <row r="14" spans="1:22" ht="12.75">
      <c r="A14">
        <f t="shared" si="12"/>
        <v>19</v>
      </c>
      <c r="B14">
        <f t="shared" si="13"/>
        <v>11</v>
      </c>
      <c r="C14">
        <f t="shared" si="0"/>
        <v>33.707865168539314</v>
      </c>
      <c r="D14">
        <f t="shared" si="1"/>
        <v>25.210084033613445</v>
      </c>
      <c r="E14">
        <f t="shared" si="2"/>
        <v>2.133160956690368</v>
      </c>
      <c r="F14">
        <f t="shared" si="3"/>
        <v>0.055</v>
      </c>
      <c r="G14">
        <f t="shared" si="18"/>
        <v>0.21008403361344463</v>
      </c>
      <c r="H14">
        <f t="shared" si="19"/>
        <v>2.133160956690368</v>
      </c>
      <c r="I14">
        <f t="shared" si="4"/>
        <v>1337078.6516853932</v>
      </c>
      <c r="J14">
        <f t="shared" si="5"/>
        <v>21331.609566903677</v>
      </c>
      <c r="K14">
        <f t="shared" si="6"/>
        <v>2133.1609566903676</v>
      </c>
      <c r="L14">
        <f t="shared" si="7"/>
        <v>0.15953892869364936</v>
      </c>
      <c r="N14" s="17">
        <f t="shared" si="14"/>
        <v>0.16499999999999998</v>
      </c>
      <c r="O14">
        <f t="shared" si="15"/>
        <v>2206.1797752808984</v>
      </c>
      <c r="Q14">
        <f t="shared" si="16"/>
        <v>0.155</v>
      </c>
      <c r="R14" s="16">
        <f>N14</f>
        <v>0.16499999999999998</v>
      </c>
      <c r="S14">
        <f t="shared" si="8"/>
        <v>2206.1797752808984</v>
      </c>
      <c r="T14">
        <f t="shared" si="9"/>
        <v>1.697061365600691</v>
      </c>
      <c r="U14">
        <f t="shared" si="10"/>
        <v>1.968160956690368</v>
      </c>
      <c r="V14">
        <f t="shared" si="11"/>
        <v>2.068160956690368</v>
      </c>
    </row>
    <row r="15" spans="1:22" ht="12.75">
      <c r="A15">
        <f t="shared" si="12"/>
        <v>18</v>
      </c>
      <c r="B15">
        <f t="shared" si="13"/>
        <v>12</v>
      </c>
      <c r="C15">
        <f t="shared" si="0"/>
        <v>34.09090909090909</v>
      </c>
      <c r="D15">
        <f t="shared" si="1"/>
        <v>25.423728813559322</v>
      </c>
      <c r="E15">
        <f t="shared" si="2"/>
        <v>2.346805736636245</v>
      </c>
      <c r="F15">
        <f t="shared" si="3"/>
        <v>0.06</v>
      </c>
      <c r="G15">
        <f t="shared" si="18"/>
        <v>0.21364477994587716</v>
      </c>
      <c r="H15">
        <f t="shared" si="19"/>
        <v>2.346805736636245</v>
      </c>
      <c r="I15">
        <f t="shared" si="4"/>
        <v>1340909.0909090908</v>
      </c>
      <c r="J15">
        <f t="shared" si="5"/>
        <v>23468.057366362453</v>
      </c>
      <c r="K15">
        <f t="shared" si="6"/>
        <v>2346.8057366362455</v>
      </c>
      <c r="L15">
        <f t="shared" si="7"/>
        <v>0.17501602103727934</v>
      </c>
      <c r="N15" s="17">
        <f t="shared" si="14"/>
        <v>0.18</v>
      </c>
      <c r="O15">
        <f t="shared" si="15"/>
        <v>2413.6363636363635</v>
      </c>
      <c r="Q15">
        <f t="shared" si="16"/>
        <v>0.16</v>
      </c>
      <c r="R15" s="16">
        <f aca="true" t="shared" si="20" ref="R15:R33">N15</f>
        <v>0.18</v>
      </c>
      <c r="S15">
        <f t="shared" si="8"/>
        <v>2413.6363636363635</v>
      </c>
      <c r="T15">
        <f t="shared" si="9"/>
        <v>1.8566433566433564</v>
      </c>
      <c r="U15">
        <f t="shared" si="10"/>
        <v>2.166805736636245</v>
      </c>
      <c r="V15">
        <f t="shared" si="11"/>
        <v>2.266805736636245</v>
      </c>
    </row>
    <row r="16" spans="1:23" ht="12.75">
      <c r="A16">
        <f t="shared" si="12"/>
        <v>17</v>
      </c>
      <c r="B16">
        <f t="shared" si="13"/>
        <v>13</v>
      </c>
      <c r="C16">
        <f t="shared" si="0"/>
        <v>34.48275862068965</v>
      </c>
      <c r="D16">
        <f t="shared" si="1"/>
        <v>25.64102564102564</v>
      </c>
      <c r="E16">
        <f t="shared" si="2"/>
        <v>2.564102564102562</v>
      </c>
      <c r="F16">
        <f t="shared" si="3"/>
        <v>0.065</v>
      </c>
      <c r="G16">
        <f t="shared" si="18"/>
        <v>0.21729682746631696</v>
      </c>
      <c r="H16">
        <f t="shared" si="19"/>
        <v>2.564102564102562</v>
      </c>
      <c r="I16">
        <f t="shared" si="4"/>
        <v>1344827.5862068967</v>
      </c>
      <c r="J16">
        <f t="shared" si="5"/>
        <v>25641.025641025622</v>
      </c>
      <c r="K16">
        <f t="shared" si="6"/>
        <v>2564.1025641025626</v>
      </c>
      <c r="L16">
        <f t="shared" si="7"/>
        <v>0.19066403681788283</v>
      </c>
      <c r="N16" s="17">
        <f t="shared" si="14"/>
        <v>0.195</v>
      </c>
      <c r="O16">
        <f t="shared" si="15"/>
        <v>2622.413793103449</v>
      </c>
      <c r="Q16">
        <f t="shared" si="16"/>
        <v>0.165</v>
      </c>
      <c r="R16" s="16">
        <f t="shared" si="20"/>
        <v>0.195</v>
      </c>
      <c r="S16">
        <f t="shared" si="8"/>
        <v>2622.413793103449</v>
      </c>
      <c r="T16">
        <f t="shared" si="9"/>
        <v>2.017241379310345</v>
      </c>
      <c r="U16">
        <f t="shared" si="10"/>
        <v>2.3691025641025623</v>
      </c>
      <c r="V16">
        <f t="shared" si="11"/>
        <v>2.4691025641025623</v>
      </c>
      <c r="W16" t="s">
        <v>198</v>
      </c>
    </row>
    <row r="17" spans="1:22" ht="13.5" thickBot="1">
      <c r="A17">
        <f t="shared" si="12"/>
        <v>16</v>
      </c>
      <c r="B17">
        <f t="shared" si="13"/>
        <v>14</v>
      </c>
      <c r="C17">
        <f t="shared" si="0"/>
        <v>34.883720930232556</v>
      </c>
      <c r="D17">
        <f t="shared" si="1"/>
        <v>25.862068965517242</v>
      </c>
      <c r="E17">
        <f t="shared" si="2"/>
        <v>2.7851458885941653</v>
      </c>
      <c r="F17">
        <f t="shared" si="3"/>
        <v>0.07</v>
      </c>
      <c r="G17">
        <f t="shared" si="18"/>
        <v>0.22104332449160324</v>
      </c>
      <c r="H17">
        <f t="shared" si="19"/>
        <v>2.7851458885941653</v>
      </c>
      <c r="I17">
        <f t="shared" si="4"/>
        <v>1348837.2093023255</v>
      </c>
      <c r="J17">
        <f t="shared" si="5"/>
        <v>27851.458885941654</v>
      </c>
      <c r="K17">
        <f t="shared" si="6"/>
        <v>2785.1458885941656</v>
      </c>
      <c r="L17">
        <f t="shared" si="7"/>
        <v>0.20648495380956744</v>
      </c>
      <c r="N17" s="17">
        <f t="shared" si="14"/>
        <v>0.21</v>
      </c>
      <c r="O17">
        <f t="shared" si="15"/>
        <v>2832.5581395348836</v>
      </c>
      <c r="Q17">
        <f t="shared" si="16"/>
        <v>0.16999999999999998</v>
      </c>
      <c r="R17" s="16">
        <f t="shared" si="20"/>
        <v>0.21</v>
      </c>
      <c r="S17">
        <f t="shared" si="8"/>
        <v>2832.5581395348836</v>
      </c>
      <c r="T17">
        <f t="shared" si="9"/>
        <v>2.178890876565295</v>
      </c>
      <c r="U17">
        <f t="shared" si="10"/>
        <v>2.5751458885941654</v>
      </c>
      <c r="V17">
        <f t="shared" si="11"/>
        <v>2.6751458885941655</v>
      </c>
    </row>
    <row r="18" spans="1:22" ht="13.5" thickBot="1">
      <c r="A18" s="10">
        <f t="shared" si="12"/>
        <v>15</v>
      </c>
      <c r="B18" s="19">
        <f t="shared" si="13"/>
        <v>15</v>
      </c>
      <c r="C18" s="10">
        <f t="shared" si="0"/>
        <v>35.29411764705884</v>
      </c>
      <c r="D18" s="10">
        <f t="shared" si="1"/>
        <v>26.08695652173913</v>
      </c>
      <c r="E18" s="10">
        <f t="shared" si="2"/>
        <v>3.0100334448160524</v>
      </c>
      <c r="F18" s="10">
        <f t="shared" si="3"/>
        <v>0.075</v>
      </c>
      <c r="G18">
        <f t="shared" si="18"/>
        <v>0.22488755622188705</v>
      </c>
      <c r="H18">
        <f t="shared" si="19"/>
        <v>3.0100334448160524</v>
      </c>
      <c r="I18" s="10">
        <f t="shared" si="4"/>
        <v>1352941.1764705884</v>
      </c>
      <c r="J18" s="10">
        <f t="shared" si="5"/>
        <v>30100.334448160524</v>
      </c>
      <c r="K18">
        <f t="shared" si="6"/>
        <v>3010.0334448160525</v>
      </c>
      <c r="L18">
        <f t="shared" si="7"/>
        <v>0.2224807328777082</v>
      </c>
      <c r="N18" s="17">
        <f t="shared" si="14"/>
        <v>0.22499999999999998</v>
      </c>
      <c r="O18" s="10">
        <f t="shared" si="15"/>
        <v>3044.1176470588234</v>
      </c>
      <c r="P18">
        <v>15</v>
      </c>
      <c r="Q18">
        <f t="shared" si="16"/>
        <v>0.175</v>
      </c>
      <c r="R18" s="16">
        <f t="shared" si="20"/>
        <v>0.22499999999999998</v>
      </c>
      <c r="S18" s="17">
        <f t="shared" si="8"/>
        <v>3044.1176470588234</v>
      </c>
      <c r="T18">
        <f t="shared" si="9"/>
        <v>2.341628959276018</v>
      </c>
      <c r="U18">
        <f t="shared" si="10"/>
        <v>2.7850334448160523</v>
      </c>
      <c r="V18">
        <f t="shared" si="11"/>
        <v>2.8850334448160524</v>
      </c>
    </row>
    <row r="19" spans="1:22" ht="12.75">
      <c r="A19">
        <f t="shared" si="12"/>
        <v>14</v>
      </c>
      <c r="B19">
        <f t="shared" si="13"/>
        <v>16</v>
      </c>
      <c r="C19">
        <f t="shared" si="0"/>
        <v>35.71428571428572</v>
      </c>
      <c r="D19">
        <f t="shared" si="1"/>
        <v>26.31578947368421</v>
      </c>
      <c r="E19">
        <f t="shared" si="2"/>
        <v>3.238866396761132</v>
      </c>
      <c r="F19">
        <f t="shared" si="3"/>
        <v>0.08</v>
      </c>
      <c r="G19">
        <f t="shared" si="18"/>
        <v>0.2288329519450798</v>
      </c>
      <c r="H19">
        <f t="shared" si="19"/>
        <v>3.238866396761132</v>
      </c>
      <c r="I19">
        <f t="shared" si="4"/>
        <v>1357142.8571428573</v>
      </c>
      <c r="J19">
        <f t="shared" si="5"/>
        <v>32388.663967611323</v>
      </c>
      <c r="K19">
        <f t="shared" si="6"/>
        <v>3238.8663967611324</v>
      </c>
      <c r="L19">
        <f t="shared" si="7"/>
        <v>0.2386533134455571</v>
      </c>
      <c r="N19" s="17">
        <f t="shared" si="14"/>
        <v>0.24</v>
      </c>
      <c r="O19">
        <f t="shared" si="15"/>
        <v>3257.1428571428573</v>
      </c>
      <c r="Q19">
        <f t="shared" si="16"/>
        <v>0.18</v>
      </c>
      <c r="R19" s="16">
        <f t="shared" si="20"/>
        <v>0.24</v>
      </c>
      <c r="S19">
        <f t="shared" si="8"/>
        <v>3257.1428571428573</v>
      </c>
      <c r="T19">
        <f t="shared" si="9"/>
        <v>2.5054945054945055</v>
      </c>
      <c r="U19">
        <f t="shared" si="10"/>
        <v>2.998866396761132</v>
      </c>
      <c r="V19">
        <f t="shared" si="11"/>
        <v>3.098866396761132</v>
      </c>
    </row>
    <row r="20" spans="1:23" ht="12.75">
      <c r="A20">
        <f t="shared" si="12"/>
        <v>13</v>
      </c>
      <c r="B20">
        <f t="shared" si="13"/>
        <v>17</v>
      </c>
      <c r="C20">
        <f t="shared" si="0"/>
        <v>36.14457831325302</v>
      </c>
      <c r="D20">
        <f t="shared" si="1"/>
        <v>26.548672566371685</v>
      </c>
      <c r="E20">
        <f t="shared" si="2"/>
        <v>3.4717494894486087</v>
      </c>
      <c r="F20">
        <f t="shared" si="3"/>
        <v>0.085</v>
      </c>
      <c r="G20">
        <f t="shared" si="18"/>
        <v>0.23288309268747653</v>
      </c>
      <c r="H20">
        <f t="shared" si="19"/>
        <v>3.4717494894486087</v>
      </c>
      <c r="I20">
        <f t="shared" si="4"/>
        <v>1361445.78313253</v>
      </c>
      <c r="J20">
        <f t="shared" si="5"/>
        <v>34717.49489448609</v>
      </c>
      <c r="K20">
        <f t="shared" si="6"/>
        <v>3471.749489448609</v>
      </c>
      <c r="L20">
        <f t="shared" si="7"/>
        <v>0.2550046085170217</v>
      </c>
      <c r="N20" s="17">
        <f t="shared" si="14"/>
        <v>0.255</v>
      </c>
      <c r="O20">
        <f t="shared" si="15"/>
        <v>3471.686746987952</v>
      </c>
      <c r="Q20">
        <f t="shared" si="16"/>
        <v>0.185</v>
      </c>
      <c r="R20" s="16">
        <f t="shared" si="20"/>
        <v>0.255</v>
      </c>
      <c r="S20">
        <f t="shared" si="8"/>
        <v>3471.686746987952</v>
      </c>
      <c r="T20">
        <f t="shared" si="9"/>
        <v>2.6705282669138093</v>
      </c>
      <c r="U20">
        <f t="shared" si="10"/>
        <v>3.216749489448609</v>
      </c>
      <c r="V20">
        <f t="shared" si="11"/>
        <v>3.316749489448609</v>
      </c>
      <c r="W20" t="s">
        <v>197</v>
      </c>
    </row>
    <row r="21" spans="1:22" ht="12.75">
      <c r="A21">
        <f t="shared" si="12"/>
        <v>12</v>
      </c>
      <c r="B21">
        <f t="shared" si="13"/>
        <v>18</v>
      </c>
      <c r="C21">
        <f t="shared" si="0"/>
        <v>36.585365853658544</v>
      </c>
      <c r="D21">
        <f t="shared" si="1"/>
        <v>26.785714285714285</v>
      </c>
      <c r="E21">
        <f t="shared" si="2"/>
        <v>3.708791208791208</v>
      </c>
      <c r="F21">
        <f t="shared" si="3"/>
        <v>0.09</v>
      </c>
      <c r="G21">
        <f t="shared" si="18"/>
        <v>0.23704171934259932</v>
      </c>
      <c r="H21">
        <f t="shared" si="19"/>
        <v>3.708791208791208</v>
      </c>
      <c r="I21">
        <f t="shared" si="4"/>
        <v>1365853.6585365855</v>
      </c>
      <c r="J21">
        <f t="shared" si="5"/>
        <v>37087.91208791208</v>
      </c>
      <c r="K21">
        <f t="shared" si="6"/>
        <v>3708.791208791208</v>
      </c>
      <c r="L21">
        <f t="shared" si="7"/>
        <v>0.27153649921507056</v>
      </c>
      <c r="N21" s="17">
        <f t="shared" si="14"/>
        <v>0.27</v>
      </c>
      <c r="O21">
        <f t="shared" si="15"/>
        <v>3687.804878048781</v>
      </c>
      <c r="Q21">
        <f t="shared" si="16"/>
        <v>0.19</v>
      </c>
      <c r="R21" s="16">
        <f t="shared" si="20"/>
        <v>0.27</v>
      </c>
      <c r="S21">
        <f t="shared" si="8"/>
        <v>3687.804878048781</v>
      </c>
      <c r="T21">
        <f t="shared" si="9"/>
        <v>2.836772983114447</v>
      </c>
      <c r="U21">
        <f t="shared" si="10"/>
        <v>3.438791208791208</v>
      </c>
      <c r="V21">
        <f t="shared" si="11"/>
        <v>3.538791208791208</v>
      </c>
    </row>
    <row r="22" spans="1:22" ht="13.5" thickBot="1">
      <c r="A22">
        <f t="shared" si="12"/>
        <v>11</v>
      </c>
      <c r="B22">
        <f t="shared" si="13"/>
        <v>19</v>
      </c>
      <c r="C22">
        <f t="shared" si="0"/>
        <v>37.03703703703704</v>
      </c>
      <c r="D22">
        <f t="shared" si="1"/>
        <v>27.027027027027028</v>
      </c>
      <c r="E22">
        <f t="shared" si="2"/>
        <v>3.9501039501039514</v>
      </c>
      <c r="F22">
        <f t="shared" si="3"/>
        <v>0.095</v>
      </c>
      <c r="G22">
        <f t="shared" si="18"/>
        <v>0.24131274131274338</v>
      </c>
      <c r="H22">
        <f t="shared" si="19"/>
        <v>3.9501039501039514</v>
      </c>
      <c r="I22">
        <f t="shared" si="4"/>
        <v>1370370.3703703703</v>
      </c>
      <c r="J22">
        <f t="shared" si="5"/>
        <v>39501.039501039515</v>
      </c>
      <c r="K22">
        <f t="shared" si="6"/>
        <v>3950.103950103952</v>
      </c>
      <c r="L22">
        <f t="shared" si="7"/>
        <v>0.2882508287913695</v>
      </c>
      <c r="N22" s="17">
        <f t="shared" si="14"/>
        <v>0.285</v>
      </c>
      <c r="O22">
        <f t="shared" si="15"/>
        <v>3905.555555555555</v>
      </c>
      <c r="Q22">
        <f t="shared" si="16"/>
        <v>0.195</v>
      </c>
      <c r="R22" s="16">
        <f t="shared" si="20"/>
        <v>0.285</v>
      </c>
      <c r="S22">
        <f t="shared" si="8"/>
        <v>3905.555555555555</v>
      </c>
      <c r="T22">
        <f t="shared" si="9"/>
        <v>3.004273504273504</v>
      </c>
      <c r="U22">
        <f t="shared" si="10"/>
        <v>3.6651039501039513</v>
      </c>
      <c r="V22">
        <f t="shared" si="11"/>
        <v>3.7651039501039514</v>
      </c>
    </row>
    <row r="23" spans="1:23" ht="13.5" thickBot="1">
      <c r="A23" s="10">
        <f t="shared" si="12"/>
        <v>10</v>
      </c>
      <c r="B23" s="19">
        <f t="shared" si="13"/>
        <v>20</v>
      </c>
      <c r="C23" s="10">
        <f t="shared" si="0"/>
        <v>37.5</v>
      </c>
      <c r="D23" s="10">
        <f t="shared" si="1"/>
        <v>27.27272727272727</v>
      </c>
      <c r="E23" s="10">
        <f t="shared" si="2"/>
        <v>4.195804195804193</v>
      </c>
      <c r="F23" s="10">
        <f t="shared" si="3"/>
        <v>0.1</v>
      </c>
      <c r="G23">
        <f t="shared" si="18"/>
        <v>0.24570024570024174</v>
      </c>
      <c r="H23">
        <f t="shared" si="19"/>
        <v>4.195804195804193</v>
      </c>
      <c r="I23" s="10">
        <f t="shared" si="4"/>
        <v>1375000</v>
      </c>
      <c r="J23" s="10">
        <f t="shared" si="5"/>
        <v>41958.04195804193</v>
      </c>
      <c r="K23">
        <f t="shared" si="6"/>
        <v>4195.804195804193</v>
      </c>
      <c r="L23">
        <f t="shared" si="7"/>
        <v>0.3051493960584868</v>
      </c>
      <c r="M23">
        <v>0.3</v>
      </c>
      <c r="N23" s="17">
        <f t="shared" si="14"/>
        <v>0.3</v>
      </c>
      <c r="O23" s="10">
        <f t="shared" si="15"/>
        <v>4125</v>
      </c>
      <c r="P23">
        <v>20</v>
      </c>
      <c r="Q23">
        <f t="shared" si="16"/>
        <v>0.2</v>
      </c>
      <c r="R23" s="16">
        <f t="shared" si="20"/>
        <v>0.3</v>
      </c>
      <c r="S23" s="17">
        <f t="shared" si="8"/>
        <v>4125</v>
      </c>
      <c r="T23">
        <f t="shared" si="9"/>
        <v>3.173076923076923</v>
      </c>
      <c r="U23">
        <f t="shared" si="10"/>
        <v>3.8958041958041933</v>
      </c>
      <c r="V23">
        <f t="shared" si="11"/>
        <v>3.9958041958041934</v>
      </c>
      <c r="W23" t="s">
        <v>196</v>
      </c>
    </row>
    <row r="24" spans="1:22" ht="12.75">
      <c r="A24">
        <f t="shared" si="12"/>
        <v>9</v>
      </c>
      <c r="B24">
        <f t="shared" si="13"/>
        <v>21</v>
      </c>
      <c r="C24">
        <f t="shared" si="0"/>
        <v>37.97468354430379</v>
      </c>
      <c r="D24">
        <f t="shared" si="1"/>
        <v>27.522935779816514</v>
      </c>
      <c r="E24">
        <f t="shared" si="2"/>
        <v>4.446012702893437</v>
      </c>
      <c r="F24">
        <f t="shared" si="3"/>
        <v>0.105</v>
      </c>
      <c r="G24">
        <f t="shared" si="18"/>
        <v>0.25020850708924414</v>
      </c>
      <c r="H24">
        <f t="shared" si="19"/>
        <v>4.446012702893437</v>
      </c>
      <c r="I24">
        <f t="shared" si="4"/>
        <v>1379746.8354430378</v>
      </c>
      <c r="J24">
        <f t="shared" si="5"/>
        <v>44460.12702893437</v>
      </c>
      <c r="K24">
        <f t="shared" si="6"/>
        <v>4446.012702893437</v>
      </c>
      <c r="L24">
        <f t="shared" si="7"/>
        <v>0.3222339481913592</v>
      </c>
      <c r="N24" s="17">
        <f t="shared" si="14"/>
        <v>0.315</v>
      </c>
      <c r="O24">
        <f t="shared" si="15"/>
        <v>4346.202531645569</v>
      </c>
      <c r="Q24">
        <f t="shared" si="16"/>
        <v>0.20500000000000002</v>
      </c>
      <c r="R24" s="16">
        <f t="shared" si="20"/>
        <v>0.315</v>
      </c>
      <c r="S24">
        <f t="shared" si="8"/>
        <v>4346.202531645569</v>
      </c>
      <c r="T24">
        <f t="shared" si="9"/>
        <v>3.343232716650438</v>
      </c>
      <c r="U24">
        <f t="shared" si="10"/>
        <v>4.131012702893437</v>
      </c>
      <c r="V24">
        <f t="shared" si="11"/>
        <v>4.231012702893437</v>
      </c>
    </row>
    <row r="25" spans="1:23" ht="12.75">
      <c r="A25">
        <f t="shared" si="12"/>
        <v>8</v>
      </c>
      <c r="B25">
        <f t="shared" si="13"/>
        <v>22</v>
      </c>
      <c r="C25">
        <f t="shared" si="0"/>
        <v>38.46153846153845</v>
      </c>
      <c r="D25">
        <f t="shared" si="1"/>
        <v>27.77777777777778</v>
      </c>
      <c r="E25">
        <f t="shared" si="2"/>
        <v>4.700854700854702</v>
      </c>
      <c r="F25">
        <f t="shared" si="3"/>
        <v>0.11</v>
      </c>
      <c r="G25">
        <f t="shared" si="18"/>
        <v>0.2548419979612646</v>
      </c>
      <c r="H25">
        <f t="shared" si="19"/>
        <v>4.700854700854702</v>
      </c>
      <c r="I25">
        <f t="shared" si="4"/>
        <v>1384615.3846153847</v>
      </c>
      <c r="J25">
        <f t="shared" si="5"/>
        <v>47008.54700854702</v>
      </c>
      <c r="K25">
        <f t="shared" si="6"/>
        <v>4700.854700854702</v>
      </c>
      <c r="L25">
        <f t="shared" si="7"/>
        <v>0.33950617283950624</v>
      </c>
      <c r="N25" s="17">
        <f t="shared" si="14"/>
        <v>0.32999999999999996</v>
      </c>
      <c r="O25">
        <f t="shared" si="15"/>
        <v>4569.2307692307695</v>
      </c>
      <c r="Q25">
        <f t="shared" si="16"/>
        <v>0.21</v>
      </c>
      <c r="R25" s="16">
        <f t="shared" si="20"/>
        <v>0.32999999999999996</v>
      </c>
      <c r="S25">
        <f t="shared" si="8"/>
        <v>4569.2307692307695</v>
      </c>
      <c r="T25">
        <f t="shared" si="9"/>
        <v>3.514792899408284</v>
      </c>
      <c r="U25">
        <f t="shared" si="10"/>
        <v>4.370854700854702</v>
      </c>
      <c r="V25">
        <f t="shared" si="11"/>
        <v>4.4708547008547015</v>
      </c>
      <c r="W25" t="s">
        <v>201</v>
      </c>
    </row>
    <row r="26" spans="1:23" ht="12.75">
      <c r="A26">
        <f t="shared" si="12"/>
        <v>7</v>
      </c>
      <c r="B26">
        <f t="shared" si="13"/>
        <v>23</v>
      </c>
      <c r="C26">
        <f t="shared" si="0"/>
        <v>38.96103896103895</v>
      </c>
      <c r="D26">
        <f t="shared" si="1"/>
        <v>28.037383177570092</v>
      </c>
      <c r="E26">
        <f t="shared" si="2"/>
        <v>4.9604601006470155</v>
      </c>
      <c r="F26">
        <f t="shared" si="3"/>
        <v>0.115</v>
      </c>
      <c r="G26">
        <f t="shared" si="18"/>
        <v>0.25960539979231356</v>
      </c>
      <c r="H26">
        <f t="shared" si="19"/>
        <v>4.9604601006470155</v>
      </c>
      <c r="I26">
        <f t="shared" si="4"/>
        <v>1389610.3896103895</v>
      </c>
      <c r="J26">
        <f t="shared" si="5"/>
        <v>49604.601006470155</v>
      </c>
      <c r="K26">
        <f t="shared" si="6"/>
        <v>4960.460100647016</v>
      </c>
      <c r="L26">
        <f t="shared" si="7"/>
        <v>0.3569676894858133</v>
      </c>
      <c r="N26" s="17">
        <f t="shared" si="14"/>
        <v>0.345</v>
      </c>
      <c r="O26">
        <f t="shared" si="15"/>
        <v>4794.155844155844</v>
      </c>
      <c r="Q26">
        <f t="shared" si="16"/>
        <v>0.215</v>
      </c>
      <c r="R26" s="16">
        <f t="shared" si="20"/>
        <v>0.345</v>
      </c>
      <c r="S26">
        <f t="shared" si="8"/>
        <v>4794.155844155844</v>
      </c>
      <c r="T26">
        <f t="shared" si="9"/>
        <v>3.6878121878121872</v>
      </c>
      <c r="U26">
        <f t="shared" si="10"/>
        <v>4.615460100647016</v>
      </c>
      <c r="V26">
        <f t="shared" si="11"/>
        <v>4.715460100647015</v>
      </c>
      <c r="W26" t="s">
        <v>202</v>
      </c>
    </row>
    <row r="27" spans="1:22" ht="13.5" thickBot="1">
      <c r="A27">
        <f t="shared" si="12"/>
        <v>6</v>
      </c>
      <c r="B27">
        <f t="shared" si="13"/>
        <v>24</v>
      </c>
      <c r="C27">
        <f t="shared" si="0"/>
        <v>39.4736842105263</v>
      </c>
      <c r="D27">
        <f t="shared" si="1"/>
        <v>28.30188679245283</v>
      </c>
      <c r="E27">
        <f t="shared" si="2"/>
        <v>5.2249637155297535</v>
      </c>
      <c r="F27">
        <f t="shared" si="3"/>
        <v>0.12</v>
      </c>
      <c r="G27">
        <f t="shared" si="18"/>
        <v>0.264503614882738</v>
      </c>
      <c r="H27">
        <f t="shared" si="19"/>
        <v>5.2249637155297535</v>
      </c>
      <c r="I27">
        <f t="shared" si="4"/>
        <v>1394736.842105263</v>
      </c>
      <c r="J27">
        <f t="shared" si="5"/>
        <v>52249.63715529754</v>
      </c>
      <c r="K27">
        <f t="shared" si="6"/>
        <v>5224.963715529754</v>
      </c>
      <c r="L27">
        <f t="shared" si="7"/>
        <v>0.37462003998137866</v>
      </c>
      <c r="N27" s="17">
        <f t="shared" si="14"/>
        <v>0.36</v>
      </c>
      <c r="O27">
        <f t="shared" si="15"/>
        <v>5021.052631578946</v>
      </c>
      <c r="Q27">
        <f t="shared" si="16"/>
        <v>0.22</v>
      </c>
      <c r="R27" s="16">
        <f t="shared" si="20"/>
        <v>0.36</v>
      </c>
      <c r="S27">
        <f t="shared" si="8"/>
        <v>5021.052631578946</v>
      </c>
      <c r="T27">
        <f t="shared" si="9"/>
        <v>3.8623481781376507</v>
      </c>
      <c r="U27">
        <f t="shared" si="10"/>
        <v>4.864963715529753</v>
      </c>
      <c r="V27">
        <f t="shared" si="11"/>
        <v>4.964963715529753</v>
      </c>
    </row>
    <row r="28" spans="1:22" ht="13.5" thickBot="1">
      <c r="A28" s="10">
        <f t="shared" si="12"/>
        <v>5</v>
      </c>
      <c r="B28" s="19">
        <f t="shared" si="13"/>
        <v>25</v>
      </c>
      <c r="C28" s="10">
        <f t="shared" si="0"/>
        <v>40</v>
      </c>
      <c r="D28" s="10">
        <f t="shared" si="1"/>
        <v>28.57142857142857</v>
      </c>
      <c r="E28" s="10">
        <f t="shared" si="2"/>
        <v>5.494505494505493</v>
      </c>
      <c r="F28" s="10">
        <f t="shared" si="3"/>
        <v>0.125</v>
      </c>
      <c r="G28">
        <f t="shared" si="18"/>
        <v>0.2695417789757393</v>
      </c>
      <c r="H28">
        <f t="shared" si="19"/>
        <v>5.494505494505493</v>
      </c>
      <c r="I28" s="10">
        <f t="shared" si="4"/>
        <v>1400000</v>
      </c>
      <c r="J28" s="10">
        <f t="shared" si="5"/>
        <v>54945.05494505493</v>
      </c>
      <c r="K28">
        <f t="shared" si="6"/>
        <v>5494.5054945054935</v>
      </c>
      <c r="L28">
        <f t="shared" si="7"/>
        <v>0.39246467817896385</v>
      </c>
      <c r="M28">
        <v>0</v>
      </c>
      <c r="N28" s="17">
        <f t="shared" si="14"/>
        <v>0.375</v>
      </c>
      <c r="O28" s="10">
        <f t="shared" si="15"/>
        <v>5250</v>
      </c>
      <c r="P28">
        <v>25</v>
      </c>
      <c r="Q28">
        <f t="shared" si="16"/>
        <v>0.225</v>
      </c>
      <c r="R28" s="16">
        <f t="shared" si="20"/>
        <v>0.375</v>
      </c>
      <c r="S28" s="17">
        <f t="shared" si="8"/>
        <v>5250</v>
      </c>
      <c r="T28">
        <f t="shared" si="9"/>
        <v>4.038461538461538</v>
      </c>
      <c r="U28">
        <f t="shared" si="10"/>
        <v>5.119505494505493</v>
      </c>
      <c r="V28">
        <f t="shared" si="11"/>
        <v>5.219505494505492</v>
      </c>
    </row>
    <row r="29" spans="1:22" ht="12.75">
      <c r="A29">
        <f>A28-1</f>
        <v>4</v>
      </c>
      <c r="B29">
        <f t="shared" si="13"/>
        <v>26</v>
      </c>
      <c r="C29">
        <f t="shared" si="0"/>
        <v>40.54054054054055</v>
      </c>
      <c r="D29">
        <f t="shared" si="1"/>
        <v>28.846153846153843</v>
      </c>
      <c r="E29">
        <f t="shared" si="2"/>
        <v>5.7692307692307665</v>
      </c>
      <c r="F29">
        <f t="shared" si="3"/>
        <v>0.13</v>
      </c>
      <c r="G29">
        <f t="shared" si="18"/>
        <v>0.27472527472527375</v>
      </c>
      <c r="H29">
        <f t="shared" si="19"/>
        <v>5.7692307692307665</v>
      </c>
      <c r="I29">
        <f t="shared" si="4"/>
        <v>1405405.4054054054</v>
      </c>
      <c r="J29">
        <f t="shared" si="5"/>
        <v>57692.30769230766</v>
      </c>
      <c r="K29">
        <f t="shared" si="6"/>
        <v>5769.230769230766</v>
      </c>
      <c r="L29">
        <f t="shared" si="7"/>
        <v>0.41050295857988145</v>
      </c>
      <c r="N29" s="17">
        <f t="shared" si="14"/>
        <v>0.39</v>
      </c>
      <c r="O29">
        <f t="shared" si="15"/>
        <v>5481.081081081082</v>
      </c>
      <c r="Q29">
        <f t="shared" si="16"/>
        <v>0.23</v>
      </c>
      <c r="R29" s="16">
        <f t="shared" si="20"/>
        <v>0.39</v>
      </c>
      <c r="S29">
        <f t="shared" si="8"/>
        <v>5481.081081081082</v>
      </c>
      <c r="T29">
        <f t="shared" si="9"/>
        <v>4.216216216216217</v>
      </c>
      <c r="U29">
        <f t="shared" si="10"/>
        <v>5.379230769230767</v>
      </c>
      <c r="V29">
        <f t="shared" si="11"/>
        <v>5.4792307692307665</v>
      </c>
    </row>
    <row r="30" spans="1:22" ht="12.75">
      <c r="A30">
        <f>A29-1</f>
        <v>3</v>
      </c>
      <c r="B30">
        <f t="shared" si="13"/>
        <v>27</v>
      </c>
      <c r="C30">
        <f t="shared" si="0"/>
        <v>41.0958904109589</v>
      </c>
      <c r="D30">
        <f t="shared" si="1"/>
        <v>29.126213592233007</v>
      </c>
      <c r="E30">
        <f t="shared" si="2"/>
        <v>6.049290515309931</v>
      </c>
      <c r="F30">
        <f t="shared" si="3"/>
        <v>0.135</v>
      </c>
      <c r="G30">
        <f t="shared" si="18"/>
        <v>0.2800597460791643</v>
      </c>
      <c r="H30">
        <f t="shared" si="19"/>
        <v>6.049290515309931</v>
      </c>
      <c r="I30">
        <f t="shared" si="4"/>
        <v>1410958.904109589</v>
      </c>
      <c r="J30">
        <f t="shared" si="5"/>
        <v>60492.90515309931</v>
      </c>
      <c r="K30">
        <f t="shared" si="6"/>
        <v>6049.290515309931</v>
      </c>
      <c r="L30">
        <f t="shared" si="7"/>
        <v>0.4287361239006067</v>
      </c>
      <c r="N30" s="17">
        <f t="shared" si="14"/>
        <v>0.40499999999999997</v>
      </c>
      <c r="O30">
        <f t="shared" si="15"/>
        <v>5714.383561643835</v>
      </c>
      <c r="Q30">
        <f t="shared" si="16"/>
        <v>0.235</v>
      </c>
      <c r="R30" s="16">
        <f t="shared" si="20"/>
        <v>0.40499999999999997</v>
      </c>
      <c r="S30">
        <f t="shared" si="8"/>
        <v>5714.383561643835</v>
      </c>
      <c r="T30">
        <f t="shared" si="9"/>
        <v>4.39567966280295</v>
      </c>
      <c r="U30">
        <f t="shared" si="10"/>
        <v>5.6442905153099305</v>
      </c>
      <c r="V30">
        <f t="shared" si="11"/>
        <v>5.74429051530993</v>
      </c>
    </row>
    <row r="31" spans="1:22" ht="12.75">
      <c r="A31">
        <f>A30-1</f>
        <v>2</v>
      </c>
      <c r="B31">
        <f t="shared" si="13"/>
        <v>28</v>
      </c>
      <c r="C31">
        <f t="shared" si="0"/>
        <v>41.666666666666686</v>
      </c>
      <c r="D31">
        <f t="shared" si="1"/>
        <v>29.411764705882355</v>
      </c>
      <c r="E31">
        <f t="shared" si="2"/>
        <v>6.334841628959278</v>
      </c>
      <c r="F31">
        <f t="shared" si="3"/>
        <v>0.14</v>
      </c>
      <c r="G31">
        <f t="shared" si="18"/>
        <v>0.2855511136493476</v>
      </c>
      <c r="H31">
        <f t="shared" si="19"/>
        <v>6.334841628959278</v>
      </c>
      <c r="I31">
        <f t="shared" si="4"/>
        <v>1416666.666666667</v>
      </c>
      <c r="J31">
        <f t="shared" si="5"/>
        <v>63348.41628959279</v>
      </c>
      <c r="K31">
        <f t="shared" si="6"/>
        <v>6334.841628959279</v>
      </c>
      <c r="L31">
        <f t="shared" si="7"/>
        <v>0.447165291455949</v>
      </c>
      <c r="N31" s="17">
        <f t="shared" si="14"/>
        <v>0.42</v>
      </c>
      <c r="O31">
        <f t="shared" si="15"/>
        <v>5950.000000000001</v>
      </c>
      <c r="Q31">
        <f t="shared" si="16"/>
        <v>0.24</v>
      </c>
      <c r="R31" s="16">
        <f t="shared" si="20"/>
        <v>0.42</v>
      </c>
      <c r="S31">
        <f t="shared" si="8"/>
        <v>5950.000000000001</v>
      </c>
      <c r="T31">
        <f t="shared" si="9"/>
        <v>4.5769230769230775</v>
      </c>
      <c r="U31">
        <f t="shared" si="10"/>
        <v>5.9148416289592785</v>
      </c>
      <c r="V31">
        <f t="shared" si="11"/>
        <v>6.014841628959278</v>
      </c>
    </row>
    <row r="32" spans="1:22" ht="13.5" thickBot="1">
      <c r="A32">
        <f>A31-1</f>
        <v>1</v>
      </c>
      <c r="B32">
        <f t="shared" si="13"/>
        <v>29</v>
      </c>
      <c r="C32">
        <f t="shared" si="0"/>
        <v>42.253521126760575</v>
      </c>
      <c r="D32">
        <f t="shared" si="1"/>
        <v>29.7029702970297</v>
      </c>
      <c r="E32">
        <f t="shared" si="2"/>
        <v>6.626047220106624</v>
      </c>
      <c r="F32">
        <f t="shared" si="3"/>
        <v>0.145</v>
      </c>
      <c r="G32">
        <f t="shared" si="18"/>
        <v>0.2912055911473459</v>
      </c>
      <c r="H32">
        <f t="shared" si="19"/>
        <v>6.626047220106624</v>
      </c>
      <c r="I32">
        <f t="shared" si="4"/>
        <v>1422535.2112676057</v>
      </c>
      <c r="J32">
        <f t="shared" si="5"/>
        <v>66260.47220106624</v>
      </c>
      <c r="K32">
        <f t="shared" si="6"/>
        <v>6626.047220106624</v>
      </c>
      <c r="L32">
        <f t="shared" si="7"/>
        <v>0.46579143824511915</v>
      </c>
      <c r="N32" s="17">
        <f t="shared" si="14"/>
        <v>0.435</v>
      </c>
      <c r="O32">
        <f t="shared" si="15"/>
        <v>6188.028169014085</v>
      </c>
      <c r="Q32">
        <f t="shared" si="16"/>
        <v>0.245</v>
      </c>
      <c r="R32" s="16">
        <f t="shared" si="20"/>
        <v>0.435</v>
      </c>
      <c r="S32">
        <f t="shared" si="8"/>
        <v>6188.028169014085</v>
      </c>
      <c r="T32">
        <f t="shared" si="9"/>
        <v>4.760021668472373</v>
      </c>
      <c r="U32">
        <f t="shared" si="10"/>
        <v>6.191047220106625</v>
      </c>
      <c r="V32">
        <f t="shared" si="11"/>
        <v>6.291047220106624</v>
      </c>
    </row>
    <row r="33" spans="1:22" ht="13.5" thickBot="1">
      <c r="A33" s="10">
        <f>A32-1</f>
        <v>0</v>
      </c>
      <c r="B33" s="19">
        <f t="shared" si="13"/>
        <v>30</v>
      </c>
      <c r="C33" s="10">
        <f t="shared" si="0"/>
        <v>42.85714285714286</v>
      </c>
      <c r="D33" s="10">
        <f t="shared" si="1"/>
        <v>30</v>
      </c>
      <c r="E33" s="10">
        <f t="shared" si="2"/>
        <v>6.923076923076923</v>
      </c>
      <c r="F33" s="10">
        <f t="shared" si="3"/>
        <v>0.15</v>
      </c>
      <c r="G33">
        <f t="shared" si="18"/>
        <v>0.29702970297029907</v>
      </c>
      <c r="H33">
        <f t="shared" si="19"/>
        <v>6.923076923076923</v>
      </c>
      <c r="I33" s="10">
        <f t="shared" si="4"/>
        <v>1428571.4285714286</v>
      </c>
      <c r="J33" s="10">
        <f t="shared" si="5"/>
        <v>69230.76923076923</v>
      </c>
      <c r="K33">
        <f t="shared" si="6"/>
        <v>6923.076923076924</v>
      </c>
      <c r="L33">
        <f t="shared" si="7"/>
        <v>0.4846153846153846</v>
      </c>
      <c r="M33">
        <v>0.5</v>
      </c>
      <c r="N33" s="17">
        <f t="shared" si="14"/>
        <v>0.44999999999999996</v>
      </c>
      <c r="O33" s="10">
        <f t="shared" si="15"/>
        <v>6428.571428571428</v>
      </c>
      <c r="P33">
        <v>30</v>
      </c>
      <c r="Q33">
        <f t="shared" si="16"/>
        <v>0.25</v>
      </c>
      <c r="R33" s="16">
        <f t="shared" si="20"/>
        <v>0.44999999999999996</v>
      </c>
      <c r="S33" s="17">
        <f t="shared" si="8"/>
        <v>6428.571428571428</v>
      </c>
      <c r="T33">
        <f t="shared" si="9"/>
        <v>4.945054945054945</v>
      </c>
      <c r="U33">
        <f t="shared" si="10"/>
        <v>6.473076923076923</v>
      </c>
      <c r="V33">
        <f t="shared" si="11"/>
        <v>6.573076923076923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23" sqref="N23"/>
    </sheetView>
  </sheetViews>
  <sheetFormatPr defaultColWidth="9.00390625" defaultRowHeight="12.75"/>
  <sheetData>
    <row r="1" spans="1:3" ht="13.5" thickBot="1">
      <c r="A1" s="570" t="s">
        <v>181</v>
      </c>
      <c r="B1" s="571"/>
      <c r="C1" s="572"/>
    </row>
    <row r="2" spans="1:15" ht="12.75">
      <c r="A2" s="22"/>
      <c r="B2" s="22"/>
      <c r="C2" s="23"/>
      <c r="D2" s="24" t="s">
        <v>219</v>
      </c>
      <c r="E2" s="25" t="s">
        <v>182</v>
      </c>
      <c r="F2" s="25" t="s">
        <v>183</v>
      </c>
      <c r="G2" s="25" t="s">
        <v>184</v>
      </c>
      <c r="H2" s="25" t="s">
        <v>185</v>
      </c>
      <c r="I2" s="25" t="s">
        <v>186</v>
      </c>
      <c r="J2" s="25" t="s">
        <v>187</v>
      </c>
      <c r="K2" s="25" t="s">
        <v>188</v>
      </c>
      <c r="L2" s="25" t="s">
        <v>189</v>
      </c>
      <c r="M2" s="20"/>
      <c r="N2" s="20"/>
      <c r="O2" s="21"/>
    </row>
    <row r="3" spans="1:15" ht="12.75">
      <c r="A3" s="26"/>
      <c r="B3" s="22"/>
      <c r="C3" s="22"/>
      <c r="D3" s="15">
        <v>1</v>
      </c>
      <c r="E3" s="15">
        <v>3.33</v>
      </c>
      <c r="F3" s="14">
        <f>E3</f>
        <v>3.33</v>
      </c>
      <c r="G3" s="14">
        <f>100*(100-D3)/100</f>
        <v>99</v>
      </c>
      <c r="H3" s="15">
        <f>10</f>
        <v>10</v>
      </c>
      <c r="I3" s="14">
        <f>G3*0.06+100*0.04*(100-F3)/100</f>
        <v>9.806799999999999</v>
      </c>
      <c r="J3" s="14">
        <f>100-H3</f>
        <v>90</v>
      </c>
      <c r="K3" s="14">
        <f>G3-I3</f>
        <v>89.1932</v>
      </c>
      <c r="L3" s="34">
        <f>J3-K3</f>
        <v>0.8067999999999955</v>
      </c>
      <c r="M3" s="27"/>
      <c r="N3" s="27"/>
      <c r="O3" s="28"/>
    </row>
    <row r="4" spans="1:15" ht="12.75" customHeight="1">
      <c r="A4" s="26"/>
      <c r="B4" s="22"/>
      <c r="C4" s="22"/>
      <c r="D4" s="15">
        <v>2</v>
      </c>
      <c r="E4" s="15">
        <v>3.33</v>
      </c>
      <c r="F4" s="14">
        <f aca="true" t="shared" si="0" ref="F4:F9">F3+E4</f>
        <v>6.66</v>
      </c>
      <c r="G4" s="14">
        <f aca="true" t="shared" si="1" ref="G4:G9">100*(100-D4)/100</f>
        <v>98</v>
      </c>
      <c r="H4" s="15">
        <f>10</f>
        <v>10</v>
      </c>
      <c r="I4" s="14">
        <f aca="true" t="shared" si="2" ref="I4:I9">G4*0.06+100*0.04*(100-F4)/100</f>
        <v>9.6136</v>
      </c>
      <c r="J4" s="14">
        <f aca="true" t="shared" si="3" ref="J4:J9">100-H4</f>
        <v>90</v>
      </c>
      <c r="K4" s="14">
        <f aca="true" t="shared" si="4" ref="K4:K9">G4-I4</f>
        <v>88.3864</v>
      </c>
      <c r="L4" s="34">
        <f aca="true" t="shared" si="5" ref="L4:L9">J4-K4</f>
        <v>1.6136000000000053</v>
      </c>
      <c r="M4" s="573" t="s">
        <v>190</v>
      </c>
      <c r="N4" s="574"/>
      <c r="O4" s="575"/>
    </row>
    <row r="5" spans="1:15" ht="12.75">
      <c r="A5" s="26"/>
      <c r="B5" s="22"/>
      <c r="C5" s="22"/>
      <c r="D5" s="15">
        <v>3</v>
      </c>
      <c r="E5" s="15">
        <v>3.34</v>
      </c>
      <c r="F5" s="14">
        <f t="shared" si="0"/>
        <v>10</v>
      </c>
      <c r="G5" s="14">
        <f t="shared" si="1"/>
        <v>97</v>
      </c>
      <c r="H5" s="15">
        <f>10</f>
        <v>10</v>
      </c>
      <c r="I5" s="14">
        <f t="shared" si="2"/>
        <v>9.42</v>
      </c>
      <c r="J5" s="14">
        <f t="shared" si="3"/>
        <v>90</v>
      </c>
      <c r="K5" s="14">
        <f t="shared" si="4"/>
        <v>87.58</v>
      </c>
      <c r="L5" s="34">
        <f t="shared" si="5"/>
        <v>2.4200000000000017</v>
      </c>
      <c r="M5" s="573"/>
      <c r="N5" s="574"/>
      <c r="O5" s="575"/>
    </row>
    <row r="6" spans="1:15" ht="12.75">
      <c r="A6" s="26"/>
      <c r="B6" s="22"/>
      <c r="C6" s="22"/>
      <c r="D6" s="15">
        <v>4</v>
      </c>
      <c r="E6" s="15">
        <v>5</v>
      </c>
      <c r="F6" s="14">
        <f t="shared" si="0"/>
        <v>15</v>
      </c>
      <c r="G6" s="14">
        <f t="shared" si="1"/>
        <v>96</v>
      </c>
      <c r="H6" s="15">
        <f>10</f>
        <v>10</v>
      </c>
      <c r="I6" s="14">
        <f t="shared" si="2"/>
        <v>9.16</v>
      </c>
      <c r="J6" s="14">
        <f t="shared" si="3"/>
        <v>90</v>
      </c>
      <c r="K6" s="14">
        <f t="shared" si="4"/>
        <v>86.84</v>
      </c>
      <c r="L6" s="34">
        <f t="shared" si="5"/>
        <v>3.1599999999999966</v>
      </c>
      <c r="M6" s="27"/>
      <c r="N6" s="27"/>
      <c r="O6" s="28"/>
    </row>
    <row r="7" spans="1:15" ht="12.75">
      <c r="A7" s="26"/>
      <c r="B7" s="22"/>
      <c r="C7" s="22"/>
      <c r="D7" s="15">
        <v>5</v>
      </c>
      <c r="E7" s="15">
        <v>5</v>
      </c>
      <c r="F7" s="14">
        <f t="shared" si="0"/>
        <v>20</v>
      </c>
      <c r="G7" s="14">
        <f t="shared" si="1"/>
        <v>95</v>
      </c>
      <c r="H7" s="15">
        <f>10</f>
        <v>10</v>
      </c>
      <c r="I7" s="14">
        <f t="shared" si="2"/>
        <v>8.9</v>
      </c>
      <c r="J7" s="14">
        <f t="shared" si="3"/>
        <v>90</v>
      </c>
      <c r="K7" s="14">
        <f t="shared" si="4"/>
        <v>86.1</v>
      </c>
      <c r="L7" s="34">
        <f t="shared" si="5"/>
        <v>3.9000000000000057</v>
      </c>
      <c r="M7" s="27"/>
      <c r="N7" s="27"/>
      <c r="O7" s="28"/>
    </row>
    <row r="8" spans="1:15" ht="12.75">
      <c r="A8" s="26"/>
      <c r="B8" s="22"/>
      <c r="C8" s="22"/>
      <c r="D8" s="15">
        <v>6</v>
      </c>
      <c r="E8" s="15">
        <v>10</v>
      </c>
      <c r="F8" s="14">
        <f t="shared" si="0"/>
        <v>30</v>
      </c>
      <c r="G8" s="14">
        <f t="shared" si="1"/>
        <v>94</v>
      </c>
      <c r="H8" s="15">
        <f>10</f>
        <v>10</v>
      </c>
      <c r="I8" s="14">
        <f t="shared" si="2"/>
        <v>8.44</v>
      </c>
      <c r="J8" s="14">
        <f t="shared" si="3"/>
        <v>90</v>
      </c>
      <c r="K8" s="14">
        <f t="shared" si="4"/>
        <v>85.56</v>
      </c>
      <c r="L8" s="34">
        <f t="shared" si="5"/>
        <v>4.439999999999998</v>
      </c>
      <c r="M8" s="27"/>
      <c r="N8" s="27"/>
      <c r="O8" s="28"/>
    </row>
    <row r="9" spans="1:15" ht="12.75">
      <c r="A9" s="26"/>
      <c r="B9" s="22"/>
      <c r="C9" s="22"/>
      <c r="D9" s="15">
        <v>7</v>
      </c>
      <c r="E9" s="15">
        <v>20</v>
      </c>
      <c r="F9" s="14">
        <f t="shared" si="0"/>
        <v>50</v>
      </c>
      <c r="G9" s="14">
        <f t="shared" si="1"/>
        <v>93</v>
      </c>
      <c r="H9" s="15">
        <f>10</f>
        <v>10</v>
      </c>
      <c r="I9" s="14">
        <f t="shared" si="2"/>
        <v>7.58</v>
      </c>
      <c r="J9" s="14">
        <f t="shared" si="3"/>
        <v>90</v>
      </c>
      <c r="K9" s="14">
        <f t="shared" si="4"/>
        <v>85.42</v>
      </c>
      <c r="L9" s="34">
        <f t="shared" si="5"/>
        <v>4.579999999999998</v>
      </c>
      <c r="M9" s="27"/>
      <c r="N9" s="27"/>
      <c r="O9" s="28"/>
    </row>
    <row r="10" spans="1:15" ht="12.75">
      <c r="A10" s="26"/>
      <c r="B10" s="22"/>
      <c r="C10" s="2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13.5" thickBot="1">
      <c r="A11" s="29"/>
      <c r="B11" s="30">
        <v>100</v>
      </c>
      <c r="C11" s="30"/>
      <c r="D11" s="31" t="s">
        <v>191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2:12" ht="12.75">
      <c r="B12" s="1"/>
      <c r="I12" s="14">
        <f>D3</f>
        <v>1</v>
      </c>
      <c r="J12">
        <f>(90-100*0.8)*0.8</f>
        <v>8</v>
      </c>
      <c r="K12">
        <f>(K3-100*0.8)*0.72</f>
        <v>6.619104000000003</v>
      </c>
      <c r="L12" s="63">
        <f aca="true" t="shared" si="6" ref="L12:L18">J12-K12</f>
        <v>1.3808959999999972</v>
      </c>
    </row>
    <row r="13" spans="2:12" ht="12.75">
      <c r="B13" s="1"/>
      <c r="I13" s="14">
        <f aca="true" t="shared" si="7" ref="I13:I18">D4</f>
        <v>2</v>
      </c>
      <c r="J13">
        <f aca="true" t="shared" si="8" ref="J13:J18">(90-100*0.8)*0.8</f>
        <v>8</v>
      </c>
      <c r="K13">
        <f aca="true" t="shared" si="9" ref="K13:K18">(K4-100*0.8)*0.72</f>
        <v>6.038207999999996</v>
      </c>
      <c r="L13" s="63">
        <f t="shared" si="6"/>
        <v>1.9617920000000044</v>
      </c>
    </row>
    <row r="14" spans="9:13" ht="12.75">
      <c r="I14" s="14">
        <f t="shared" si="7"/>
        <v>3</v>
      </c>
      <c r="J14">
        <f t="shared" si="8"/>
        <v>8</v>
      </c>
      <c r="K14">
        <f t="shared" si="9"/>
        <v>5.4575999999999985</v>
      </c>
      <c r="L14" s="63">
        <f t="shared" si="6"/>
        <v>2.5424000000000015</v>
      </c>
      <c r="M14" t="s">
        <v>192</v>
      </c>
    </row>
    <row r="15" spans="9:12" ht="12.75">
      <c r="I15" s="14">
        <f t="shared" si="7"/>
        <v>4</v>
      </c>
      <c r="J15">
        <f t="shared" si="8"/>
        <v>8</v>
      </c>
      <c r="K15">
        <f t="shared" si="9"/>
        <v>4.924800000000002</v>
      </c>
      <c r="L15" s="63">
        <f t="shared" si="6"/>
        <v>3.075199999999998</v>
      </c>
    </row>
    <row r="16" spans="9:12" ht="12.75">
      <c r="I16" s="14">
        <f t="shared" si="7"/>
        <v>5</v>
      </c>
      <c r="J16">
        <f t="shared" si="8"/>
        <v>8</v>
      </c>
      <c r="K16">
        <f t="shared" si="9"/>
        <v>4.391999999999996</v>
      </c>
      <c r="L16" s="63">
        <f t="shared" si="6"/>
        <v>3.608000000000004</v>
      </c>
    </row>
    <row r="17" spans="9:12" ht="12.75">
      <c r="I17" s="14">
        <f t="shared" si="7"/>
        <v>6</v>
      </c>
      <c r="J17">
        <f t="shared" si="8"/>
        <v>8</v>
      </c>
      <c r="K17">
        <f t="shared" si="9"/>
        <v>4.003200000000001</v>
      </c>
      <c r="L17" s="63">
        <f t="shared" si="6"/>
        <v>3.9967999999999986</v>
      </c>
    </row>
    <row r="18" spans="9:12" ht="12.75">
      <c r="I18" s="14">
        <f t="shared" si="7"/>
        <v>7</v>
      </c>
      <c r="J18">
        <f t="shared" si="8"/>
        <v>8</v>
      </c>
      <c r="K18">
        <f t="shared" si="9"/>
        <v>3.902400000000001</v>
      </c>
      <c r="L18" s="63">
        <f t="shared" si="6"/>
        <v>4.097599999999999</v>
      </c>
    </row>
  </sheetData>
  <mergeCells count="2">
    <mergeCell ref="A1:C1"/>
    <mergeCell ref="M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H9" sqref="H9"/>
    </sheetView>
  </sheetViews>
  <sheetFormatPr defaultColWidth="9.00390625" defaultRowHeight="12.75"/>
  <cols>
    <col min="3" max="3" width="6.875" style="0" customWidth="1"/>
    <col min="4" max="4" width="8.875" style="0" customWidth="1"/>
    <col min="5" max="5" width="10.875" style="0" customWidth="1"/>
  </cols>
  <sheetData>
    <row r="2" ht="13.5" thickBot="1"/>
    <row r="3" spans="2:6" ht="13.5" thickBot="1">
      <c r="B3" t="s">
        <v>75</v>
      </c>
      <c r="C3" s="576">
        <v>500</v>
      </c>
      <c r="D3" s="577"/>
      <c r="E3" s="3" t="s">
        <v>246</v>
      </c>
      <c r="F3" s="59">
        <v>2</v>
      </c>
    </row>
    <row r="4" spans="3:6" ht="13.5" thickBot="1">
      <c r="C4" s="48" t="s">
        <v>33</v>
      </c>
      <c r="D4" s="42" t="s">
        <v>154</v>
      </c>
      <c r="E4" s="3" t="s">
        <v>245</v>
      </c>
      <c r="F4" s="61">
        <f>C3/100*(100-F3)</f>
        <v>490</v>
      </c>
    </row>
    <row r="5" spans="1:6" ht="12.75">
      <c r="A5" s="304" t="s">
        <v>140</v>
      </c>
      <c r="B5" s="49" t="s">
        <v>174</v>
      </c>
      <c r="C5" s="50">
        <v>25</v>
      </c>
      <c r="D5" s="56">
        <f>C3/(100+C5)*C5</f>
        <v>100</v>
      </c>
      <c r="E5" s="47">
        <f>F5/(C3/(100+C5)*100)*100</f>
        <v>22.5</v>
      </c>
      <c r="F5" s="45">
        <f>D5-C3+F4</f>
        <v>90</v>
      </c>
    </row>
    <row r="6" spans="1:6" ht="12.75">
      <c r="A6" s="304"/>
      <c r="B6" s="51" t="s">
        <v>240</v>
      </c>
      <c r="C6" s="52">
        <f>100*C5/(100+C5)</f>
        <v>20</v>
      </c>
      <c r="D6" s="57">
        <f>C3/100*C6</f>
        <v>100</v>
      </c>
      <c r="E6" s="47">
        <f>F5/F4*100</f>
        <v>18.367346938775512</v>
      </c>
      <c r="F6" s="45">
        <f>E6*F4/100</f>
        <v>90</v>
      </c>
    </row>
    <row r="7" spans="2:6" ht="12.75">
      <c r="B7" s="51" t="s">
        <v>241</v>
      </c>
      <c r="C7" s="53">
        <v>10</v>
      </c>
      <c r="D7" s="57">
        <f>C3/100*C7</f>
        <v>50</v>
      </c>
      <c r="E7" s="47">
        <v>10</v>
      </c>
      <c r="F7" s="45">
        <f>E7*F4/100</f>
        <v>49</v>
      </c>
    </row>
    <row r="8" spans="2:6" ht="12.75">
      <c r="B8" s="51" t="s">
        <v>239</v>
      </c>
      <c r="C8" s="52">
        <f>D8/C3*100</f>
        <v>10</v>
      </c>
      <c r="D8" s="57">
        <f>D6-D7</f>
        <v>50</v>
      </c>
      <c r="E8" s="47">
        <f>F8/F4*100</f>
        <v>8.36734693877551</v>
      </c>
      <c r="F8" s="45">
        <f>F6-F7</f>
        <v>41</v>
      </c>
    </row>
    <row r="9" spans="2:6" ht="12.75">
      <c r="B9" s="51" t="s">
        <v>238</v>
      </c>
      <c r="C9" s="53">
        <v>20</v>
      </c>
      <c r="D9" s="57">
        <f>D8/100*C9</f>
        <v>10</v>
      </c>
      <c r="E9" s="46">
        <v>0</v>
      </c>
      <c r="F9" s="45">
        <f>F8/100*E9</f>
        <v>0</v>
      </c>
    </row>
    <row r="10" spans="2:6" ht="13.5" thickBot="1">
      <c r="B10" s="54" t="s">
        <v>242</v>
      </c>
      <c r="C10" s="55">
        <f>D10/C3*100</f>
        <v>8</v>
      </c>
      <c r="D10" s="58">
        <f>D8-D9</f>
        <v>40</v>
      </c>
      <c r="E10" s="47">
        <f>F10/F4*100</f>
        <v>8.36734693877551</v>
      </c>
      <c r="F10" s="45">
        <f>F8-F9</f>
        <v>41</v>
      </c>
    </row>
    <row r="12" ht="13.5" thickBot="1"/>
    <row r="13" spans="4:8" ht="13.5" thickBot="1">
      <c r="D13" s="60" t="s">
        <v>244</v>
      </c>
      <c r="E13" s="62">
        <f>F10-D10</f>
        <v>1</v>
      </c>
      <c r="F13" s="43" t="s">
        <v>243</v>
      </c>
      <c r="G13" s="41">
        <f>E13/(C3/(100+C5)*100)*100</f>
        <v>0.25</v>
      </c>
      <c r="H13" s="44" t="s">
        <v>247</v>
      </c>
    </row>
  </sheetData>
  <mergeCells count="2">
    <mergeCell ref="A5:A6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50"/>
  <sheetViews>
    <sheetView workbookViewId="0" topLeftCell="A1">
      <pane xSplit="1" ySplit="6" topLeftCell="B7" activePane="bottomRight" state="frozen"/>
      <selection pane="topLeft" activeCell="A88" sqref="A88:F88"/>
      <selection pane="topRight" activeCell="A88" sqref="A88:F88"/>
      <selection pane="bottomLeft" activeCell="A88" sqref="A88:F88"/>
      <selection pane="bottomRight" activeCell="AA7" sqref="AA7:AF7"/>
    </sheetView>
  </sheetViews>
  <sheetFormatPr defaultColWidth="9.00390625" defaultRowHeight="12.75"/>
  <cols>
    <col min="1" max="1" width="3.125" style="2" customWidth="1"/>
    <col min="2" max="27" width="3.25390625" style="2" customWidth="1"/>
    <col min="28" max="28" width="4.875" style="2" customWidth="1"/>
    <col min="29" max="29" width="3.25390625" style="2" customWidth="1"/>
    <col min="30" max="30" width="5.375" style="2" customWidth="1"/>
    <col min="31" max="31" width="3.75390625" style="2" customWidth="1"/>
    <col min="32" max="32" width="4.75390625" style="2" customWidth="1"/>
    <col min="33" max="33" width="3.625" style="2" customWidth="1"/>
    <col min="34" max="34" width="4.25390625" style="2" customWidth="1"/>
    <col min="35" max="36" width="3.25390625" style="2" customWidth="1"/>
    <col min="37" max="37" width="5.25390625" style="2" customWidth="1"/>
    <col min="38" max="38" width="3.25390625" style="2" customWidth="1"/>
    <col min="39" max="39" width="4.875" style="2" customWidth="1"/>
    <col min="40" max="40" width="3.25390625" style="2" customWidth="1"/>
    <col min="41" max="41" width="4.75390625" style="2" customWidth="1"/>
    <col min="42" max="42" width="3.25390625" style="2" customWidth="1"/>
    <col min="43" max="43" width="5.25390625" style="2" customWidth="1"/>
    <col min="44" max="44" width="3.00390625" style="2" customWidth="1"/>
    <col min="45" max="47" width="3.25390625" style="2" customWidth="1"/>
    <col min="48" max="48" width="2.875" style="2" customWidth="1"/>
    <col min="49" max="16384" width="3.25390625" style="2" customWidth="1"/>
  </cols>
  <sheetData>
    <row r="1" spans="1:53" ht="12.75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33</v>
      </c>
      <c r="M1" s="200"/>
      <c r="N1" s="200" t="s">
        <v>34</v>
      </c>
      <c r="O1" s="200"/>
      <c r="P1" s="200"/>
      <c r="Q1" s="200" t="s">
        <v>35</v>
      </c>
      <c r="R1" s="200"/>
      <c r="S1" s="200"/>
      <c r="T1" s="200" t="s">
        <v>36</v>
      </c>
      <c r="U1" s="200"/>
      <c r="V1" s="200"/>
      <c r="W1" s="200" t="s">
        <v>39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 t="s">
        <v>26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 t="s">
        <v>39</v>
      </c>
      <c r="AY1" s="200"/>
      <c r="AZ1" s="200"/>
      <c r="BA1" s="200"/>
    </row>
    <row r="2" spans="1:53" ht="12.75">
      <c r="A2" s="126" t="s">
        <v>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>
        <f>AG124</f>
        <v>3.6052631578947367</v>
      </c>
      <c r="M2" s="127"/>
      <c r="N2" s="201">
        <v>8</v>
      </c>
      <c r="O2" s="201"/>
      <c r="P2" s="201"/>
      <c r="Q2" s="127">
        <v>1</v>
      </c>
      <c r="R2" s="127"/>
      <c r="S2" s="127"/>
      <c r="T2" s="127">
        <v>0.4</v>
      </c>
      <c r="U2" s="127"/>
      <c r="V2" s="127"/>
      <c r="W2" s="206" t="s">
        <v>40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7" t="s">
        <v>46</v>
      </c>
      <c r="AI2" s="208"/>
      <c r="AJ2" s="208"/>
      <c r="AK2" s="209"/>
      <c r="AL2" s="207" t="s">
        <v>47</v>
      </c>
      <c r="AM2" s="208"/>
      <c r="AN2" s="208"/>
      <c r="AO2" s="209"/>
      <c r="AP2" s="207" t="s">
        <v>46</v>
      </c>
      <c r="AQ2" s="208"/>
      <c r="AR2" s="208"/>
      <c r="AS2" s="209"/>
      <c r="AT2" s="207" t="s">
        <v>48</v>
      </c>
      <c r="AU2" s="208"/>
      <c r="AV2" s="208"/>
      <c r="AW2" s="209"/>
      <c r="AX2" s="210" t="s">
        <v>51</v>
      </c>
      <c r="AY2" s="211"/>
      <c r="AZ2" s="211"/>
      <c r="BA2" s="212"/>
    </row>
    <row r="3" spans="1:53" ht="12.75">
      <c r="A3" s="126" t="s">
        <v>278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>
        <v>4</v>
      </c>
      <c r="M3" s="127"/>
      <c r="N3" s="202" t="s">
        <v>248</v>
      </c>
      <c r="O3" s="202"/>
      <c r="P3" s="202"/>
      <c r="Q3" s="203" t="s">
        <v>274</v>
      </c>
      <c r="R3" s="204"/>
      <c r="S3" s="205"/>
      <c r="T3" s="127">
        <v>0</v>
      </c>
      <c r="U3" s="127"/>
      <c r="V3" s="127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126" t="s">
        <v>5</v>
      </c>
      <c r="AI3" s="126"/>
      <c r="AJ3" s="126"/>
      <c r="AK3" s="126"/>
      <c r="AL3" s="127">
        <v>12.5</v>
      </c>
      <c r="AM3" s="127"/>
      <c r="AN3" s="127"/>
      <c r="AO3" s="127"/>
      <c r="AP3" s="203" t="s">
        <v>49</v>
      </c>
      <c r="AQ3" s="204"/>
      <c r="AR3" s="204"/>
      <c r="AS3" s="205"/>
      <c r="AT3" s="126">
        <v>0</v>
      </c>
      <c r="AU3" s="126"/>
      <c r="AV3" s="126"/>
      <c r="AW3" s="126"/>
      <c r="AX3" s="213"/>
      <c r="AY3" s="214"/>
      <c r="AZ3" s="214"/>
      <c r="BA3" s="215"/>
    </row>
    <row r="4" spans="1:53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202" t="s">
        <v>249</v>
      </c>
      <c r="O4" s="202"/>
      <c r="P4" s="202"/>
      <c r="Q4" s="203" t="s">
        <v>275</v>
      </c>
      <c r="R4" s="204"/>
      <c r="S4" s="205"/>
      <c r="T4" s="127">
        <v>0</v>
      </c>
      <c r="U4" s="127"/>
      <c r="V4" s="127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126" t="s">
        <v>2</v>
      </c>
      <c r="AI4" s="126"/>
      <c r="AJ4" s="126"/>
      <c r="AK4" s="126"/>
      <c r="AL4" s="127">
        <v>7.5</v>
      </c>
      <c r="AM4" s="127"/>
      <c r="AN4" s="127"/>
      <c r="AO4" s="127"/>
      <c r="AP4" s="203" t="s">
        <v>50</v>
      </c>
      <c r="AQ4" s="204"/>
      <c r="AR4" s="204"/>
      <c r="AS4" s="205"/>
      <c r="AT4" s="126">
        <v>100</v>
      </c>
      <c r="AU4" s="126"/>
      <c r="AV4" s="126"/>
      <c r="AW4" s="126"/>
      <c r="AX4" s="216"/>
      <c r="AY4" s="217"/>
      <c r="AZ4" s="217"/>
      <c r="BA4" s="218"/>
    </row>
    <row r="5" spans="14:22" ht="13.5" thickBot="1">
      <c r="N5" s="2" t="s">
        <v>277</v>
      </c>
      <c r="Q5" s="126" t="s">
        <v>276</v>
      </c>
      <c r="R5" s="126"/>
      <c r="S5" s="126"/>
      <c r="T5" s="127">
        <v>0.1</v>
      </c>
      <c r="U5" s="127"/>
      <c r="V5" s="127"/>
    </row>
    <row r="6" spans="1:35" ht="13.5" thickBot="1">
      <c r="A6" s="129" t="s">
        <v>52</v>
      </c>
      <c r="B6" s="130"/>
      <c r="C6" s="130"/>
      <c r="D6" s="130"/>
      <c r="E6" s="130"/>
      <c r="F6" s="130"/>
      <c r="G6" s="129" t="s">
        <v>27</v>
      </c>
      <c r="H6" s="130"/>
      <c r="I6" s="130"/>
      <c r="J6" s="131"/>
      <c r="K6" s="130" t="s">
        <v>0</v>
      </c>
      <c r="L6" s="130"/>
      <c r="M6" s="130"/>
      <c r="N6" s="130"/>
      <c r="O6" s="129" t="s">
        <v>1</v>
      </c>
      <c r="P6" s="130"/>
      <c r="Q6" s="128"/>
      <c r="R6" s="190"/>
      <c r="S6" s="128" t="s">
        <v>2</v>
      </c>
      <c r="T6" s="128"/>
      <c r="U6" s="128"/>
      <c r="V6" s="128"/>
      <c r="W6" s="129" t="s">
        <v>60</v>
      </c>
      <c r="X6" s="130"/>
      <c r="Y6" s="130"/>
      <c r="Z6" s="131"/>
      <c r="AA6" s="130" t="s">
        <v>350</v>
      </c>
      <c r="AB6" s="130"/>
      <c r="AC6" s="130"/>
      <c r="AD6" s="130"/>
      <c r="AE6" s="130"/>
      <c r="AF6" s="130"/>
      <c r="AG6" s="130"/>
      <c r="AH6" s="130"/>
      <c r="AI6" s="131"/>
    </row>
    <row r="7" spans="1:35" ht="12.75" customHeight="1">
      <c r="A7" s="186" t="s">
        <v>61</v>
      </c>
      <c r="B7" s="93" t="s">
        <v>23</v>
      </c>
      <c r="C7" s="94"/>
      <c r="D7" s="94"/>
      <c r="E7" s="94"/>
      <c r="F7" s="199"/>
      <c r="G7" s="185">
        <v>1120</v>
      </c>
      <c r="H7" s="183"/>
      <c r="I7" s="183"/>
      <c r="J7" s="184"/>
      <c r="K7" s="182">
        <v>500</v>
      </c>
      <c r="L7" s="183"/>
      <c r="M7" s="183"/>
      <c r="N7" s="184"/>
      <c r="O7" s="182">
        <v>200</v>
      </c>
      <c r="P7" s="183"/>
      <c r="Q7" s="183"/>
      <c r="R7" s="184"/>
      <c r="S7" s="182">
        <v>0</v>
      </c>
      <c r="T7" s="183"/>
      <c r="U7" s="183"/>
      <c r="V7" s="184"/>
      <c r="W7" s="170">
        <f aca="true" t="shared" si="0" ref="W7:W34">G7+K7+O7+S7</f>
        <v>1820</v>
      </c>
      <c r="X7" s="171"/>
      <c r="Y7" s="171"/>
      <c r="Z7" s="172"/>
      <c r="AA7" s="93" t="s">
        <v>282</v>
      </c>
      <c r="AB7" s="94"/>
      <c r="AC7" s="94"/>
      <c r="AD7" s="94"/>
      <c r="AE7" s="94"/>
      <c r="AF7" s="94"/>
      <c r="AG7" s="173">
        <f>(W12+$N$2*AG13)/W7*100+$Q$2+$T$2+$T$3+$T$5</f>
        <v>7.653846153846154</v>
      </c>
      <c r="AH7" s="174"/>
      <c r="AI7" s="175"/>
    </row>
    <row r="8" spans="1:36" ht="12.75">
      <c r="A8" s="219"/>
      <c r="B8" s="125" t="s">
        <v>24</v>
      </c>
      <c r="C8" s="126"/>
      <c r="D8" s="126"/>
      <c r="E8" s="126"/>
      <c r="F8" s="161"/>
      <c r="G8" s="179">
        <v>1120</v>
      </c>
      <c r="H8" s="177"/>
      <c r="I8" s="177"/>
      <c r="J8" s="178"/>
      <c r="K8" s="176">
        <v>500</v>
      </c>
      <c r="L8" s="177"/>
      <c r="M8" s="177"/>
      <c r="N8" s="178"/>
      <c r="O8" s="176">
        <v>200</v>
      </c>
      <c r="P8" s="177"/>
      <c r="Q8" s="177"/>
      <c r="R8" s="178"/>
      <c r="S8" s="176">
        <v>0</v>
      </c>
      <c r="T8" s="177"/>
      <c r="U8" s="177"/>
      <c r="V8" s="178"/>
      <c r="W8" s="153">
        <f t="shared" si="0"/>
        <v>1820</v>
      </c>
      <c r="X8" s="154"/>
      <c r="Y8" s="154"/>
      <c r="Z8" s="155"/>
      <c r="AA8" s="125" t="s">
        <v>54</v>
      </c>
      <c r="AB8" s="126"/>
      <c r="AC8" s="126"/>
      <c r="AD8" s="126"/>
      <c r="AE8" s="126"/>
      <c r="AF8" s="126"/>
      <c r="AG8" s="180">
        <f>(AG7-$L$2)*W7/100</f>
        <v>73.6842105263158</v>
      </c>
      <c r="AH8" s="180"/>
      <c r="AI8" s="181"/>
      <c r="AJ8" s="2" t="s">
        <v>284</v>
      </c>
    </row>
    <row r="9" spans="1:43" ht="12.75">
      <c r="A9" s="219"/>
      <c r="B9" s="125" t="s">
        <v>29</v>
      </c>
      <c r="C9" s="126"/>
      <c r="D9" s="126"/>
      <c r="E9" s="126"/>
      <c r="F9" s="161"/>
      <c r="G9" s="156">
        <f>IF(G7&lt;=G8,$N$2+G8/100*($Q$2+$T$2)+$AI16/$AG13+$AI18+IF(AI15&gt;0,AI15,0),$N$2+G8/100*$Q$2+$AI16/$AG13+$AI18+IF(AI15&gt;0,AI15,0))</f>
        <v>25.5</v>
      </c>
      <c r="H9" s="157"/>
      <c r="I9" s="157"/>
      <c r="J9" s="158"/>
      <c r="K9" s="156">
        <f>IF(K7&lt;=K8,$N$2+K8/100*($Q$2+$T$2)+$AI16/$AG13+$AI18,$N$2+K8/100*$Q$2+$AI16/$AG13+$AI18)</f>
        <v>15</v>
      </c>
      <c r="L9" s="157"/>
      <c r="M9" s="157"/>
      <c r="N9" s="158"/>
      <c r="O9" s="156">
        <f>IF(O7&lt;=O8,$N$2+O8/100*($Q$2+$T$2)+$AI16/$AG13+$AI18,$N$2+O8/100*$Q$2+$AI16/$AG13+$AI18)</f>
        <v>10.8</v>
      </c>
      <c r="P9" s="157"/>
      <c r="Q9" s="157"/>
      <c r="R9" s="158"/>
      <c r="S9" s="156">
        <f>IF(S7&lt;=S8,$N$2+S8/100*($Q$2+$T$2)+$AI16/$AG13+$AI18,$N$2+S8/100*$Q$2+$AI16/$AG13+$AI18)</f>
        <v>8</v>
      </c>
      <c r="T9" s="157"/>
      <c r="U9" s="157"/>
      <c r="V9" s="158"/>
      <c r="W9" s="153">
        <f t="shared" si="0"/>
        <v>59.3</v>
      </c>
      <c r="X9" s="154"/>
      <c r="Y9" s="154"/>
      <c r="Z9" s="155"/>
      <c r="AA9" s="125" t="s">
        <v>55</v>
      </c>
      <c r="AB9" s="126"/>
      <c r="AC9" s="126"/>
      <c r="AD9" s="126"/>
      <c r="AE9" s="126"/>
      <c r="AF9" s="126"/>
      <c r="AG9" s="122">
        <f>SUM(AJ10:AQ10)+AG8</f>
        <v>73.6842105263158</v>
      </c>
      <c r="AH9" s="123"/>
      <c r="AI9" s="124"/>
      <c r="AJ9" s="225">
        <f>$N$2+G7*($Q$2+$T$2+$T$3/$AG13)/100+$T$5*$W7/100</f>
        <v>25.5</v>
      </c>
      <c r="AK9" s="226"/>
      <c r="AL9" s="225">
        <f>$N$2+K7*($Q$2+$T$2+$T$3/$AG13)/100</f>
        <v>15</v>
      </c>
      <c r="AM9" s="226"/>
      <c r="AN9" s="225">
        <f>$N$2+O7*($Q$2+$T$2+$T$3/$AG13)/100</f>
        <v>10.8</v>
      </c>
      <c r="AO9" s="226"/>
      <c r="AP9" s="225">
        <f>$N$2+S7*($Q$2+$T$2+$T$3/$AG13)/100</f>
        <v>8</v>
      </c>
      <c r="AQ9" s="226"/>
    </row>
    <row r="10" spans="1:43" ht="12.75">
      <c r="A10" s="219"/>
      <c r="B10" s="125" t="s">
        <v>10</v>
      </c>
      <c r="C10" s="126"/>
      <c r="D10" s="126"/>
      <c r="E10" s="126"/>
      <c r="F10" s="161"/>
      <c r="G10" s="169">
        <v>20</v>
      </c>
      <c r="H10" s="167"/>
      <c r="I10" s="167"/>
      <c r="J10" s="168"/>
      <c r="K10" s="166">
        <v>15</v>
      </c>
      <c r="L10" s="167"/>
      <c r="M10" s="167"/>
      <c r="N10" s="168"/>
      <c r="O10" s="169">
        <v>10</v>
      </c>
      <c r="P10" s="167"/>
      <c r="Q10" s="167"/>
      <c r="R10" s="168"/>
      <c r="S10" s="166">
        <v>8</v>
      </c>
      <c r="T10" s="167"/>
      <c r="U10" s="167"/>
      <c r="V10" s="168"/>
      <c r="W10" s="153">
        <f t="shared" si="0"/>
        <v>53</v>
      </c>
      <c r="X10" s="154"/>
      <c r="Y10" s="154"/>
      <c r="Z10" s="155"/>
      <c r="AA10" s="125" t="s">
        <v>56</v>
      </c>
      <c r="AB10" s="126"/>
      <c r="AC10" s="126"/>
      <c r="AD10" s="126"/>
      <c r="AE10" s="126"/>
      <c r="AF10" s="126"/>
      <c r="AG10" s="134">
        <f>W17+AG9</f>
        <v>0</v>
      </c>
      <c r="AH10" s="134"/>
      <c r="AI10" s="135"/>
      <c r="AJ10" s="225">
        <f>IF(AJ9&gt;G10,0,G10-AJ9)</f>
        <v>0</v>
      </c>
      <c r="AK10" s="226"/>
      <c r="AL10" s="225">
        <f>IF(AL9&gt;K10,0,K10-AL9)</f>
        <v>0</v>
      </c>
      <c r="AM10" s="226"/>
      <c r="AN10" s="225">
        <f>IF(AN9&gt;O10,0,O10-AN9)</f>
        <v>0</v>
      </c>
      <c r="AO10" s="226"/>
      <c r="AP10" s="225">
        <f>IF(AP9&gt;S10,0,S10-AP9)</f>
        <v>0</v>
      </c>
      <c r="AQ10" s="226"/>
    </row>
    <row r="11" spans="1:37" ht="13.5" thickBot="1">
      <c r="A11" s="219"/>
      <c r="B11" s="125" t="s">
        <v>58</v>
      </c>
      <c r="C11" s="126"/>
      <c r="D11" s="126"/>
      <c r="E11" s="126"/>
      <c r="F11" s="161"/>
      <c r="G11" s="156">
        <f>IF(G9&lt;G10,G10,G9)</f>
        <v>25.5</v>
      </c>
      <c r="H11" s="157"/>
      <c r="I11" s="157"/>
      <c r="J11" s="158"/>
      <c r="K11" s="160">
        <f>IF(K9&lt;K10,K10,K9)</f>
        <v>15</v>
      </c>
      <c r="L11" s="157"/>
      <c r="M11" s="157"/>
      <c r="N11" s="158"/>
      <c r="O11" s="156">
        <f>IF(O9&lt;O10,O10,O9)</f>
        <v>10.8</v>
      </c>
      <c r="P11" s="157"/>
      <c r="Q11" s="157"/>
      <c r="R11" s="158"/>
      <c r="S11" s="160">
        <f>IF(S9&lt;S10,S10,S9)</f>
        <v>8</v>
      </c>
      <c r="T11" s="157"/>
      <c r="U11" s="157"/>
      <c r="V11" s="158"/>
      <c r="W11" s="153">
        <f t="shared" si="0"/>
        <v>59.3</v>
      </c>
      <c r="X11" s="154"/>
      <c r="Y11" s="154"/>
      <c r="Z11" s="155"/>
      <c r="AA11" s="92" t="s">
        <v>57</v>
      </c>
      <c r="AB11" s="90"/>
      <c r="AC11" s="90"/>
      <c r="AD11" s="90"/>
      <c r="AE11" s="90"/>
      <c r="AF11" s="90"/>
      <c r="AG11" s="91">
        <f>-AG9+AG10-W18</f>
        <v>-73.6842105263158</v>
      </c>
      <c r="AH11" s="91"/>
      <c r="AI11" s="85"/>
      <c r="AK11" s="64"/>
    </row>
    <row r="12" spans="1:35" ht="12.75">
      <c r="A12" s="219"/>
      <c r="B12" s="125" t="s">
        <v>41</v>
      </c>
      <c r="C12" s="126"/>
      <c r="D12" s="126"/>
      <c r="E12" s="126"/>
      <c r="F12" s="161"/>
      <c r="G12" s="156">
        <v>20</v>
      </c>
      <c r="H12" s="157"/>
      <c r="I12" s="157"/>
      <c r="J12" s="158"/>
      <c r="K12" s="160">
        <v>20</v>
      </c>
      <c r="L12" s="157"/>
      <c r="M12" s="157"/>
      <c r="N12" s="158"/>
      <c r="O12" s="156">
        <v>20</v>
      </c>
      <c r="P12" s="157"/>
      <c r="Q12" s="157"/>
      <c r="R12" s="158"/>
      <c r="S12" s="160">
        <v>20</v>
      </c>
      <c r="T12" s="157"/>
      <c r="U12" s="157"/>
      <c r="V12" s="158"/>
      <c r="W12" s="153">
        <f t="shared" si="0"/>
        <v>80</v>
      </c>
      <c r="X12" s="154"/>
      <c r="Y12" s="154"/>
      <c r="Z12" s="155"/>
      <c r="AA12" s="86" t="s">
        <v>59</v>
      </c>
      <c r="AB12" s="87"/>
      <c r="AC12" s="87"/>
      <c r="AD12" s="87"/>
      <c r="AE12" s="87"/>
      <c r="AF12" s="87"/>
      <c r="AG12" s="88">
        <f>AG9+AG11</f>
        <v>0</v>
      </c>
      <c r="AH12" s="89"/>
      <c r="AI12" s="84"/>
    </row>
    <row r="13" spans="1:35" ht="12.75">
      <c r="A13" s="219"/>
      <c r="B13" s="125" t="s">
        <v>42</v>
      </c>
      <c r="C13" s="126"/>
      <c r="D13" s="126"/>
      <c r="E13" s="126"/>
      <c r="F13" s="161"/>
      <c r="G13" s="169">
        <v>20</v>
      </c>
      <c r="H13" s="167"/>
      <c r="I13" s="167"/>
      <c r="J13" s="168"/>
      <c r="K13" s="166">
        <v>20</v>
      </c>
      <c r="L13" s="167"/>
      <c r="M13" s="167"/>
      <c r="N13" s="168"/>
      <c r="O13" s="169">
        <v>20</v>
      </c>
      <c r="P13" s="167"/>
      <c r="Q13" s="167"/>
      <c r="R13" s="168"/>
      <c r="S13" s="166">
        <v>20</v>
      </c>
      <c r="T13" s="167"/>
      <c r="U13" s="167"/>
      <c r="V13" s="168"/>
      <c r="W13" s="153">
        <f t="shared" si="0"/>
        <v>80</v>
      </c>
      <c r="X13" s="154"/>
      <c r="Y13" s="154"/>
      <c r="Z13" s="159"/>
      <c r="AA13" s="102" t="s">
        <v>279</v>
      </c>
      <c r="AB13" s="103"/>
      <c r="AC13" s="103"/>
      <c r="AD13" s="103"/>
      <c r="AE13" s="103"/>
      <c r="AF13" s="103"/>
      <c r="AG13" s="95">
        <v>4</v>
      </c>
      <c r="AH13" s="95"/>
      <c r="AI13" s="95"/>
    </row>
    <row r="14" spans="1:35" ht="12.75">
      <c r="A14" s="219"/>
      <c r="B14" s="125" t="s">
        <v>43</v>
      </c>
      <c r="C14" s="126"/>
      <c r="D14" s="126"/>
      <c r="E14" s="126"/>
      <c r="F14" s="161"/>
      <c r="G14" s="165">
        <f>G12-G13</f>
        <v>0</v>
      </c>
      <c r="H14" s="163"/>
      <c r="I14" s="163"/>
      <c r="J14" s="164"/>
      <c r="K14" s="162">
        <f>K12-K13</f>
        <v>0</v>
      </c>
      <c r="L14" s="163"/>
      <c r="M14" s="163"/>
      <c r="N14" s="164"/>
      <c r="O14" s="165">
        <f>O12-O13</f>
        <v>0</v>
      </c>
      <c r="P14" s="163"/>
      <c r="Q14" s="163"/>
      <c r="R14" s="164"/>
      <c r="S14" s="162">
        <f>S12-S13</f>
        <v>0</v>
      </c>
      <c r="T14" s="163"/>
      <c r="U14" s="163"/>
      <c r="V14" s="164"/>
      <c r="W14" s="153">
        <f t="shared" si="0"/>
        <v>0</v>
      </c>
      <c r="X14" s="154"/>
      <c r="Y14" s="154"/>
      <c r="Z14" s="159"/>
      <c r="AA14" s="221">
        <f>W8*$L$2/100-AI19</f>
        <v>65.6157894736842</v>
      </c>
      <c r="AB14" s="222"/>
      <c r="AC14" s="222"/>
      <c r="AD14" s="222"/>
      <c r="AE14" s="223">
        <f>AA14-W11-W13</f>
        <v>-73.6842105263158</v>
      </c>
      <c r="AF14" s="204"/>
      <c r="AG14" s="204"/>
      <c r="AH14" s="204"/>
      <c r="AI14" s="205"/>
    </row>
    <row r="15" spans="1:38" ht="12.75">
      <c r="A15" s="219"/>
      <c r="B15" s="125" t="s">
        <v>30</v>
      </c>
      <c r="C15" s="126"/>
      <c r="D15" s="126"/>
      <c r="E15" s="126"/>
      <c r="F15" s="161"/>
      <c r="G15" s="156">
        <f>G8*$L$2/100-AA19</f>
        <v>40.37894736842105</v>
      </c>
      <c r="H15" s="157"/>
      <c r="I15" s="157"/>
      <c r="J15" s="158"/>
      <c r="K15" s="156">
        <f>K8*$L$2/100-AC19</f>
        <v>18.026315789473685</v>
      </c>
      <c r="L15" s="157"/>
      <c r="M15" s="157"/>
      <c r="N15" s="158"/>
      <c r="O15" s="156">
        <f>O8*$L$2/100-AE19</f>
        <v>7.210526315789474</v>
      </c>
      <c r="P15" s="157"/>
      <c r="Q15" s="157"/>
      <c r="R15" s="158"/>
      <c r="S15" s="156">
        <f>S8*$L$2/100-AG19</f>
        <v>0</v>
      </c>
      <c r="T15" s="157"/>
      <c r="U15" s="157"/>
      <c r="V15" s="158"/>
      <c r="W15" s="153">
        <f t="shared" si="0"/>
        <v>65.61578947368422</v>
      </c>
      <c r="X15" s="154"/>
      <c r="Y15" s="154"/>
      <c r="Z15" s="159"/>
      <c r="AA15" s="101">
        <f>IF(G8&lt;G7,$T$5*(G8-G7)*$L$3/100,$T$5*G8/100)</f>
        <v>1.12</v>
      </c>
      <c r="AB15" s="101"/>
      <c r="AC15" s="101">
        <f>IF(K8&lt;K7,$T$5*(K8-K7)*$L$3/100,$T$5*K8/100)</f>
        <v>0.5</v>
      </c>
      <c r="AD15" s="101"/>
      <c r="AE15" s="101">
        <f>IF(O8&lt;O7,$T$5*(O8-O7)*$L$3/100,$T$5*O8/100)</f>
        <v>0.2</v>
      </c>
      <c r="AF15" s="101"/>
      <c r="AG15" s="101">
        <f>IF(S8&lt;S7,$T$5*(S8-S7)*$L$3/100,$T$5*S8/100)</f>
        <v>0</v>
      </c>
      <c r="AH15" s="101"/>
      <c r="AI15" s="97">
        <f>SUM(AA15:AH15)</f>
        <v>1.82</v>
      </c>
      <c r="AJ15" s="98"/>
      <c r="AK15" s="98"/>
      <c r="AL15" s="2" t="s">
        <v>277</v>
      </c>
    </row>
    <row r="16" spans="1:38" ht="12.75">
      <c r="A16" s="219"/>
      <c r="B16" s="125" t="s">
        <v>283</v>
      </c>
      <c r="C16" s="126"/>
      <c r="D16" s="126"/>
      <c r="E16" s="126"/>
      <c r="F16" s="161"/>
      <c r="G16" s="156">
        <f>G15-G12-G11+$AI18</f>
        <v>-5.121052631578948</v>
      </c>
      <c r="H16" s="157"/>
      <c r="I16" s="157"/>
      <c r="J16" s="158"/>
      <c r="K16" s="156">
        <f>K15-K12-K11+$AI18</f>
        <v>-16.973684210526315</v>
      </c>
      <c r="L16" s="157"/>
      <c r="M16" s="157"/>
      <c r="N16" s="158"/>
      <c r="O16" s="156">
        <f>O15-O12-O11+$AI18</f>
        <v>-23.589473684210525</v>
      </c>
      <c r="P16" s="157"/>
      <c r="Q16" s="157"/>
      <c r="R16" s="158"/>
      <c r="S16" s="156">
        <f>S15-S12-S11+$AI18</f>
        <v>-28</v>
      </c>
      <c r="T16" s="157"/>
      <c r="U16" s="157"/>
      <c r="V16" s="158"/>
      <c r="W16" s="153">
        <f t="shared" si="0"/>
        <v>-73.68421052631578</v>
      </c>
      <c r="X16" s="154"/>
      <c r="Y16" s="154"/>
      <c r="Z16" s="159"/>
      <c r="AA16" s="101">
        <f>IF(G8&lt;G7,0,$T$3*G8/100)</f>
        <v>0</v>
      </c>
      <c r="AB16" s="101"/>
      <c r="AC16" s="101">
        <f>IF(K8&lt;K7,0,$T$3*K8/100)</f>
        <v>0</v>
      </c>
      <c r="AD16" s="101"/>
      <c r="AE16" s="101">
        <f>IF(O8&lt;O7,0,$T$3*O8/100)</f>
        <v>0</v>
      </c>
      <c r="AF16" s="101"/>
      <c r="AG16" s="101">
        <f>IF(S8&lt;S7,0,$T$3*S8/100)</f>
        <v>0</v>
      </c>
      <c r="AH16" s="101"/>
      <c r="AI16" s="97">
        <f>SUM(AA16:AH16)</f>
        <v>0</v>
      </c>
      <c r="AJ16" s="98"/>
      <c r="AK16" s="98"/>
      <c r="AL16" s="2" t="s">
        <v>248</v>
      </c>
    </row>
    <row r="17" spans="1:38" ht="12.75">
      <c r="A17" s="219"/>
      <c r="B17" s="125" t="s">
        <v>45</v>
      </c>
      <c r="C17" s="126"/>
      <c r="D17" s="126"/>
      <c r="E17" s="126"/>
      <c r="F17" s="161"/>
      <c r="G17" s="156">
        <f>G16+G14</f>
        <v>-5.121052631578948</v>
      </c>
      <c r="H17" s="157"/>
      <c r="I17" s="157"/>
      <c r="J17" s="158"/>
      <c r="K17" s="160">
        <f>K16+K14</f>
        <v>-16.973684210526315</v>
      </c>
      <c r="L17" s="157"/>
      <c r="M17" s="157"/>
      <c r="N17" s="158"/>
      <c r="O17" s="156">
        <f>O16+O14</f>
        <v>-23.589473684210525</v>
      </c>
      <c r="P17" s="157"/>
      <c r="Q17" s="157"/>
      <c r="R17" s="158"/>
      <c r="S17" s="160">
        <f>S16+S14</f>
        <v>-28</v>
      </c>
      <c r="T17" s="157"/>
      <c r="U17" s="157"/>
      <c r="V17" s="158"/>
      <c r="W17" s="153">
        <f t="shared" si="0"/>
        <v>-73.68421052631578</v>
      </c>
      <c r="X17" s="154"/>
      <c r="Y17" s="154"/>
      <c r="Z17" s="155"/>
      <c r="AA17" s="101">
        <f>IF(G8&lt;G7,0,$T$4*G8/100)</f>
        <v>0</v>
      </c>
      <c r="AB17" s="101"/>
      <c r="AC17" s="101">
        <f>IF(K8&lt;K7,0,$T$4*K8/100)</f>
        <v>0</v>
      </c>
      <c r="AD17" s="101"/>
      <c r="AE17" s="101">
        <f>IF(O8&lt;O7,0,$T$4*O8/100)</f>
        <v>0</v>
      </c>
      <c r="AF17" s="101"/>
      <c r="AG17" s="101">
        <f>IF(S8&lt;S7,0,$T$4*S8/100)</f>
        <v>0</v>
      </c>
      <c r="AH17" s="101"/>
      <c r="AI17" s="97">
        <f>SUM(AA17:AH17)</f>
        <v>0</v>
      </c>
      <c r="AJ17" s="98"/>
      <c r="AK17" s="98"/>
      <c r="AL17" s="2" t="s">
        <v>281</v>
      </c>
    </row>
    <row r="18" spans="1:38" ht="12.75">
      <c r="A18" s="219"/>
      <c r="B18" s="194" t="s">
        <v>26</v>
      </c>
      <c r="C18" s="98"/>
      <c r="D18" s="98"/>
      <c r="E18" s="98"/>
      <c r="F18" s="195"/>
      <c r="G18" s="196">
        <f>$AG10/100*$AL$3</f>
        <v>0</v>
      </c>
      <c r="H18" s="197"/>
      <c r="I18" s="197"/>
      <c r="J18" s="198"/>
      <c r="K18" s="137">
        <f>$AG10/100*$AL$4</f>
        <v>0</v>
      </c>
      <c r="L18" s="138"/>
      <c r="M18" s="138"/>
      <c r="N18" s="139"/>
      <c r="O18" s="137">
        <f>$AG10/100*$AL$4</f>
        <v>0</v>
      </c>
      <c r="P18" s="138"/>
      <c r="Q18" s="138"/>
      <c r="R18" s="139"/>
      <c r="S18" s="137">
        <f>$AG10/100*$AL$4</f>
        <v>0</v>
      </c>
      <c r="T18" s="138"/>
      <c r="U18" s="138"/>
      <c r="V18" s="139"/>
      <c r="W18" s="153">
        <f t="shared" si="0"/>
        <v>0</v>
      </c>
      <c r="X18" s="154"/>
      <c r="Y18" s="154"/>
      <c r="Z18" s="155"/>
      <c r="AI18" s="224">
        <f>'ЦФУ Продажи'!G$59</f>
        <v>0</v>
      </c>
      <c r="AJ18" s="224"/>
      <c r="AK18" s="224"/>
      <c r="AL18" s="2" t="s">
        <v>280</v>
      </c>
    </row>
    <row r="19" spans="1:38" ht="13.5" thickBot="1">
      <c r="A19" s="220"/>
      <c r="B19" s="191" t="s">
        <v>28</v>
      </c>
      <c r="C19" s="192"/>
      <c r="D19" s="192"/>
      <c r="E19" s="192"/>
      <c r="F19" s="193"/>
      <c r="G19" s="149">
        <f>IF(G18&lt;0,G11,G11+G18)</f>
        <v>25.5</v>
      </c>
      <c r="H19" s="147"/>
      <c r="I19" s="147"/>
      <c r="J19" s="148"/>
      <c r="K19" s="146">
        <f>IF(K18&lt;0,K11,K11+K18)</f>
        <v>15</v>
      </c>
      <c r="L19" s="147"/>
      <c r="M19" s="147"/>
      <c r="N19" s="148"/>
      <c r="O19" s="149">
        <f>IF(O18&lt;0,O11,O11+O18)</f>
        <v>10.8</v>
      </c>
      <c r="P19" s="147"/>
      <c r="Q19" s="147"/>
      <c r="R19" s="148"/>
      <c r="S19" s="146">
        <f>IF(S18&lt;0,S11,S11+S18)</f>
        <v>8</v>
      </c>
      <c r="T19" s="147"/>
      <c r="U19" s="147"/>
      <c r="V19" s="148"/>
      <c r="W19" s="150">
        <f t="shared" si="0"/>
        <v>59.3</v>
      </c>
      <c r="X19" s="151"/>
      <c r="Y19" s="151"/>
      <c r="Z19" s="152"/>
      <c r="AA19" s="101">
        <f>IF($AI15&gt;0,IF(AA15&gt;=0,0,G8*($T$2+$T$3+$T$5)/100-AA15),IF(G8&lt;G7,G8*($T$2+$T$3+$T$5)/100,AA15))</f>
        <v>0</v>
      </c>
      <c r="AB19" s="101"/>
      <c r="AC19" s="101">
        <f>IF($AI15&gt;0,IF(AC15&gt;=0,0,K8*($T$2+$T$3+$T$4+$T$5)/100-AC15),IF(K8&lt;K7,K8*($T$2+$T$3+$T$4+$T$5)/100,AC15))</f>
        <v>0</v>
      </c>
      <c r="AD19" s="101"/>
      <c r="AE19" s="101">
        <f>IF($AI15&gt;0,IF(AE15&gt;=0,0,O8*($T$2+$T$3+$T$4+$T$5)/100-AE15),IF(O8&lt;O7,O8*($T$2+$T$3+$T$4+$T$5)/100,AE15))</f>
        <v>0</v>
      </c>
      <c r="AF19" s="101"/>
      <c r="AG19" s="101">
        <f>IF($AI15&gt;0,IF(AG15&gt;=0,0,S8*($T$2+$T$3+$T$4+$T$5)/100-AG15),IF(S8&lt;S7,S8*($T$2+$T$3+$T$4+$T$5)/100,AG15))</f>
        <v>0</v>
      </c>
      <c r="AH19" s="101"/>
      <c r="AI19" s="97">
        <f>SUM(AA19:AH19)</f>
        <v>0</v>
      </c>
      <c r="AJ19" s="98"/>
      <c r="AK19" s="98"/>
      <c r="AL19" s="2" t="s">
        <v>218</v>
      </c>
    </row>
    <row r="20" spans="1:35" ht="12.75" customHeight="1">
      <c r="A20" s="186" t="s">
        <v>62</v>
      </c>
      <c r="B20" s="93" t="s">
        <v>23</v>
      </c>
      <c r="C20" s="94"/>
      <c r="D20" s="94"/>
      <c r="E20" s="94"/>
      <c r="F20" s="199"/>
      <c r="G20" s="185">
        <v>1120</v>
      </c>
      <c r="H20" s="183"/>
      <c r="I20" s="183"/>
      <c r="J20" s="184"/>
      <c r="K20" s="182">
        <v>700</v>
      </c>
      <c r="L20" s="183"/>
      <c r="M20" s="183"/>
      <c r="N20" s="184"/>
      <c r="O20" s="185">
        <v>500</v>
      </c>
      <c r="P20" s="183"/>
      <c r="Q20" s="183"/>
      <c r="R20" s="184"/>
      <c r="S20" s="182">
        <v>200</v>
      </c>
      <c r="T20" s="183"/>
      <c r="U20" s="183"/>
      <c r="V20" s="184"/>
      <c r="W20" s="170">
        <f t="shared" si="0"/>
        <v>2520</v>
      </c>
      <c r="X20" s="171"/>
      <c r="Y20" s="171"/>
      <c r="Z20" s="172"/>
      <c r="AA20" s="93" t="s">
        <v>53</v>
      </c>
      <c r="AB20" s="94"/>
      <c r="AC20" s="94"/>
      <c r="AD20" s="94"/>
      <c r="AE20" s="94"/>
      <c r="AF20" s="94"/>
      <c r="AG20" s="173">
        <f>(W25+$N$2*AG26)/W20*100+$Q$2+$T$2+$T$3+$T$5</f>
        <v>5.944444444444445</v>
      </c>
      <c r="AH20" s="174"/>
      <c r="AI20" s="175"/>
    </row>
    <row r="21" spans="1:36" ht="12.75">
      <c r="A21" s="187"/>
      <c r="B21" s="125" t="s">
        <v>24</v>
      </c>
      <c r="C21" s="126"/>
      <c r="D21" s="126"/>
      <c r="E21" s="126"/>
      <c r="F21" s="161"/>
      <c r="G21" s="169">
        <v>1120</v>
      </c>
      <c r="H21" s="167"/>
      <c r="I21" s="167"/>
      <c r="J21" s="168"/>
      <c r="K21" s="166">
        <v>700</v>
      </c>
      <c r="L21" s="167"/>
      <c r="M21" s="167"/>
      <c r="N21" s="168"/>
      <c r="O21" s="169">
        <v>500</v>
      </c>
      <c r="P21" s="167"/>
      <c r="Q21" s="167"/>
      <c r="R21" s="168"/>
      <c r="S21" s="166">
        <v>200</v>
      </c>
      <c r="T21" s="167"/>
      <c r="U21" s="167"/>
      <c r="V21" s="168"/>
      <c r="W21" s="153">
        <f t="shared" si="0"/>
        <v>2520</v>
      </c>
      <c r="X21" s="154"/>
      <c r="Y21" s="154"/>
      <c r="Z21" s="155"/>
      <c r="AA21" s="125" t="s">
        <v>54</v>
      </c>
      <c r="AB21" s="126"/>
      <c r="AC21" s="126"/>
      <c r="AD21" s="126"/>
      <c r="AE21" s="126"/>
      <c r="AF21" s="126"/>
      <c r="AG21" s="180">
        <f>(AG20-$L$2)*W20/100</f>
        <v>58.947368421052644</v>
      </c>
      <c r="AH21" s="180"/>
      <c r="AI21" s="181"/>
      <c r="AJ21" s="2" t="s">
        <v>284</v>
      </c>
    </row>
    <row r="22" spans="1:43" ht="12.75">
      <c r="A22" s="187"/>
      <c r="B22" s="125" t="s">
        <v>29</v>
      </c>
      <c r="C22" s="126"/>
      <c r="D22" s="126"/>
      <c r="E22" s="126"/>
      <c r="F22" s="161"/>
      <c r="G22" s="156">
        <f>IF(G20&lt;=G21,$N$2+G21/100*($Q$2+$T$2)+$AI29/$AG26+$AI31+IF(AI28&gt;0,AI28,0),$N$2+G21/100*$Q$2+$AI29/$AG26+$AI31+IF(AI28&gt;0,AI28,0))</f>
        <v>26.2</v>
      </c>
      <c r="H22" s="157"/>
      <c r="I22" s="157"/>
      <c r="J22" s="158"/>
      <c r="K22" s="156">
        <f>IF(K20&lt;=K21,$N$2+K21/100*($Q$2+$T$2)+$AI29/$AG26+$AI31,$N$2+K21/100*$Q$2+$AI29/$AG26+$AI31)</f>
        <v>17.799999999999997</v>
      </c>
      <c r="L22" s="157"/>
      <c r="M22" s="157"/>
      <c r="N22" s="158"/>
      <c r="O22" s="156">
        <f>IF(O20&lt;=O21,$N$2+O21/100*($Q$2+$T$2)+$AI29/$AG26+$AI31,$N$2+O21/100*$Q$2+$AI29/$AG26+$AI31)</f>
        <v>15</v>
      </c>
      <c r="P22" s="157"/>
      <c r="Q22" s="157"/>
      <c r="R22" s="158"/>
      <c r="S22" s="156">
        <f>IF(S20&lt;=S21,$N$2+S21/100*($Q$2+$T$2)+$AI29/$AG26+$AI31,$N$2+S21/100*$Q$2+$AI29/$AG26+$AI31)</f>
        <v>10.8</v>
      </c>
      <c r="T22" s="157"/>
      <c r="U22" s="157"/>
      <c r="V22" s="158"/>
      <c r="W22" s="153">
        <f aca="true" t="shared" si="1" ref="W22:W32">G22+K22+O22+S22</f>
        <v>69.8</v>
      </c>
      <c r="X22" s="154"/>
      <c r="Y22" s="154"/>
      <c r="Z22" s="155"/>
      <c r="AA22" s="125" t="s">
        <v>55</v>
      </c>
      <c r="AB22" s="126"/>
      <c r="AC22" s="126"/>
      <c r="AD22" s="126"/>
      <c r="AE22" s="126"/>
      <c r="AF22" s="126"/>
      <c r="AG22" s="122">
        <f>SUM(AJ23:AQ23)+AG21</f>
        <v>58.947368421052644</v>
      </c>
      <c r="AH22" s="123"/>
      <c r="AI22" s="124"/>
      <c r="AJ22" s="225">
        <f>$N$2+G20*($Q$2+$T$2+$T$3/$AG26)/100+$T$5*$W20/100</f>
        <v>26.2</v>
      </c>
      <c r="AK22" s="226"/>
      <c r="AL22" s="225">
        <f>$N$2+K20*($Q$2+$T$2+$T$3/$AG26)/100</f>
        <v>17.799999999999997</v>
      </c>
      <c r="AM22" s="226"/>
      <c r="AN22" s="225">
        <f>$N$2+O20*($Q$2+$T$2+$T$3/$AG26)/100</f>
        <v>15</v>
      </c>
      <c r="AO22" s="226"/>
      <c r="AP22" s="225">
        <f>$N$2+S20*($Q$2+$T$2+$T$3/$AG26)/100</f>
        <v>10.8</v>
      </c>
      <c r="AQ22" s="226"/>
    </row>
    <row r="23" spans="1:43" ht="12.75">
      <c r="A23" s="187"/>
      <c r="B23" s="125" t="s">
        <v>10</v>
      </c>
      <c r="C23" s="126"/>
      <c r="D23" s="126"/>
      <c r="E23" s="126"/>
      <c r="F23" s="161"/>
      <c r="G23" s="169">
        <v>20</v>
      </c>
      <c r="H23" s="167"/>
      <c r="I23" s="167"/>
      <c r="J23" s="168"/>
      <c r="K23" s="166">
        <v>15</v>
      </c>
      <c r="L23" s="167"/>
      <c r="M23" s="167"/>
      <c r="N23" s="168"/>
      <c r="O23" s="169">
        <v>10</v>
      </c>
      <c r="P23" s="167"/>
      <c r="Q23" s="167"/>
      <c r="R23" s="168"/>
      <c r="S23" s="166">
        <v>8</v>
      </c>
      <c r="T23" s="167"/>
      <c r="U23" s="167"/>
      <c r="V23" s="168"/>
      <c r="W23" s="153">
        <f t="shared" si="1"/>
        <v>53</v>
      </c>
      <c r="X23" s="154"/>
      <c r="Y23" s="154"/>
      <c r="Z23" s="155"/>
      <c r="AA23" s="125" t="s">
        <v>56</v>
      </c>
      <c r="AB23" s="126"/>
      <c r="AC23" s="126"/>
      <c r="AD23" s="126"/>
      <c r="AE23" s="126"/>
      <c r="AF23" s="126"/>
      <c r="AG23" s="134">
        <f>W30+AG22</f>
        <v>0</v>
      </c>
      <c r="AH23" s="134"/>
      <c r="AI23" s="135"/>
      <c r="AJ23" s="225">
        <f>IF(AJ22&gt;G23,0,G23-AJ22)</f>
        <v>0</v>
      </c>
      <c r="AK23" s="226"/>
      <c r="AL23" s="225">
        <f>IF(AL22&gt;K23,0,K23-AL22)</f>
        <v>0</v>
      </c>
      <c r="AM23" s="226"/>
      <c r="AN23" s="225">
        <f>IF(AN22&gt;O23,0,O23-AN22)</f>
        <v>0</v>
      </c>
      <c r="AO23" s="226"/>
      <c r="AP23" s="225">
        <f>IF(AP22&gt;S23,0,S23-AP22)</f>
        <v>0</v>
      </c>
      <c r="AQ23" s="226"/>
    </row>
    <row r="24" spans="1:35" ht="13.5" thickBot="1">
      <c r="A24" s="187"/>
      <c r="B24" s="125" t="s">
        <v>58</v>
      </c>
      <c r="C24" s="126"/>
      <c r="D24" s="126"/>
      <c r="E24" s="126"/>
      <c r="F24" s="161"/>
      <c r="G24" s="156">
        <f>IF(G22&lt;G23,G23,G22)</f>
        <v>26.2</v>
      </c>
      <c r="H24" s="157"/>
      <c r="I24" s="157"/>
      <c r="J24" s="158"/>
      <c r="K24" s="160">
        <f>IF(K22&lt;K23,K23,K22)</f>
        <v>17.799999999999997</v>
      </c>
      <c r="L24" s="157"/>
      <c r="M24" s="157"/>
      <c r="N24" s="158"/>
      <c r="O24" s="156">
        <f>IF(O22&lt;O23,O23,O22)</f>
        <v>15</v>
      </c>
      <c r="P24" s="157"/>
      <c r="Q24" s="157"/>
      <c r="R24" s="158"/>
      <c r="S24" s="160">
        <f>IF(S22&lt;S23,S23,S22)</f>
        <v>10.8</v>
      </c>
      <c r="T24" s="157"/>
      <c r="U24" s="157"/>
      <c r="V24" s="158"/>
      <c r="W24" s="153">
        <f t="shared" si="1"/>
        <v>69.8</v>
      </c>
      <c r="X24" s="154"/>
      <c r="Y24" s="154"/>
      <c r="Z24" s="155"/>
      <c r="AA24" s="92" t="s">
        <v>57</v>
      </c>
      <c r="AB24" s="90"/>
      <c r="AC24" s="90"/>
      <c r="AD24" s="90"/>
      <c r="AE24" s="90"/>
      <c r="AF24" s="90"/>
      <c r="AG24" s="91">
        <f>-AG22+AG23-W31</f>
        <v>-58.947368421052644</v>
      </c>
      <c r="AH24" s="91"/>
      <c r="AI24" s="85"/>
    </row>
    <row r="25" spans="1:35" ht="12.75">
      <c r="A25" s="187"/>
      <c r="B25" s="125" t="s">
        <v>41</v>
      </c>
      <c r="C25" s="126"/>
      <c r="D25" s="126"/>
      <c r="E25" s="126"/>
      <c r="F25" s="161"/>
      <c r="G25" s="156">
        <v>20</v>
      </c>
      <c r="H25" s="157"/>
      <c r="I25" s="157"/>
      <c r="J25" s="158"/>
      <c r="K25" s="160">
        <v>20</v>
      </c>
      <c r="L25" s="157"/>
      <c r="M25" s="157"/>
      <c r="N25" s="158"/>
      <c r="O25" s="156">
        <v>20</v>
      </c>
      <c r="P25" s="157"/>
      <c r="Q25" s="157"/>
      <c r="R25" s="158"/>
      <c r="S25" s="160">
        <v>20</v>
      </c>
      <c r="T25" s="157"/>
      <c r="U25" s="157"/>
      <c r="V25" s="158"/>
      <c r="W25" s="153">
        <f t="shared" si="1"/>
        <v>80</v>
      </c>
      <c r="X25" s="154"/>
      <c r="Y25" s="154"/>
      <c r="Z25" s="155"/>
      <c r="AA25" s="86" t="s">
        <v>59</v>
      </c>
      <c r="AB25" s="87"/>
      <c r="AC25" s="87"/>
      <c r="AD25" s="87"/>
      <c r="AE25" s="87"/>
      <c r="AF25" s="87"/>
      <c r="AG25" s="88">
        <f>AG22+AG24</f>
        <v>0</v>
      </c>
      <c r="AH25" s="89"/>
      <c r="AI25" s="84"/>
    </row>
    <row r="26" spans="1:35" ht="12.75">
      <c r="A26" s="187"/>
      <c r="B26" s="125" t="s">
        <v>42</v>
      </c>
      <c r="C26" s="126"/>
      <c r="D26" s="126"/>
      <c r="E26" s="126"/>
      <c r="F26" s="161"/>
      <c r="G26" s="169">
        <v>20</v>
      </c>
      <c r="H26" s="167"/>
      <c r="I26" s="167"/>
      <c r="J26" s="168"/>
      <c r="K26" s="166">
        <v>20</v>
      </c>
      <c r="L26" s="167"/>
      <c r="M26" s="167"/>
      <c r="N26" s="168"/>
      <c r="O26" s="169">
        <v>20</v>
      </c>
      <c r="P26" s="167"/>
      <c r="Q26" s="167"/>
      <c r="R26" s="168"/>
      <c r="S26" s="166">
        <v>20</v>
      </c>
      <c r="T26" s="167"/>
      <c r="U26" s="167"/>
      <c r="V26" s="168"/>
      <c r="W26" s="153">
        <f t="shared" si="1"/>
        <v>80</v>
      </c>
      <c r="X26" s="154"/>
      <c r="Y26" s="154"/>
      <c r="Z26" s="159"/>
      <c r="AA26" s="102" t="s">
        <v>279</v>
      </c>
      <c r="AB26" s="103"/>
      <c r="AC26" s="103"/>
      <c r="AD26" s="103"/>
      <c r="AE26" s="103"/>
      <c r="AF26" s="103"/>
      <c r="AG26" s="95">
        <v>4</v>
      </c>
      <c r="AH26" s="95"/>
      <c r="AI26" s="95"/>
    </row>
    <row r="27" spans="1:38" ht="12.75">
      <c r="A27" s="187"/>
      <c r="B27" s="125" t="s">
        <v>43</v>
      </c>
      <c r="C27" s="126"/>
      <c r="D27" s="126"/>
      <c r="E27" s="126"/>
      <c r="F27" s="161"/>
      <c r="G27" s="165">
        <f>G25-G26</f>
        <v>0</v>
      </c>
      <c r="H27" s="163"/>
      <c r="I27" s="163"/>
      <c r="J27" s="164"/>
      <c r="K27" s="162">
        <f>K25-K26</f>
        <v>0</v>
      </c>
      <c r="L27" s="163"/>
      <c r="M27" s="163"/>
      <c r="N27" s="164"/>
      <c r="O27" s="165">
        <f>O25-O26</f>
        <v>0</v>
      </c>
      <c r="P27" s="163"/>
      <c r="Q27" s="163"/>
      <c r="R27" s="164"/>
      <c r="S27" s="162">
        <f>S25-S26</f>
        <v>0</v>
      </c>
      <c r="T27" s="163"/>
      <c r="U27" s="163"/>
      <c r="V27" s="164"/>
      <c r="W27" s="153">
        <f t="shared" si="1"/>
        <v>0</v>
      </c>
      <c r="X27" s="154"/>
      <c r="Y27" s="154"/>
      <c r="Z27" s="159"/>
      <c r="AA27" s="126">
        <f>W21*$L$2/100-AI32</f>
        <v>90.85263157894737</v>
      </c>
      <c r="AB27" s="126"/>
      <c r="AC27" s="126"/>
      <c r="AD27" s="126"/>
      <c r="AE27" s="126"/>
      <c r="AF27" s="126"/>
      <c r="AG27" s="133"/>
      <c r="AH27" s="133"/>
      <c r="AI27" s="133"/>
      <c r="AJ27" s="99">
        <f>AA27-W28</f>
        <v>0</v>
      </c>
      <c r="AK27" s="100"/>
      <c r="AL27" s="100"/>
    </row>
    <row r="28" spans="1:38" ht="12.75">
      <c r="A28" s="187"/>
      <c r="B28" s="125" t="s">
        <v>30</v>
      </c>
      <c r="C28" s="126"/>
      <c r="D28" s="126"/>
      <c r="E28" s="126"/>
      <c r="F28" s="161"/>
      <c r="G28" s="156">
        <f>G21*$L$2/100-AA32</f>
        <v>40.37894736842105</v>
      </c>
      <c r="H28" s="157"/>
      <c r="I28" s="157"/>
      <c r="J28" s="158"/>
      <c r="K28" s="156">
        <f>K21*$L$2/100-AC32</f>
        <v>25.236842105263158</v>
      </c>
      <c r="L28" s="157"/>
      <c r="M28" s="157"/>
      <c r="N28" s="158"/>
      <c r="O28" s="156">
        <f>O21*$L$2/100-AE32</f>
        <v>18.026315789473685</v>
      </c>
      <c r="P28" s="157"/>
      <c r="Q28" s="157"/>
      <c r="R28" s="158"/>
      <c r="S28" s="156">
        <f>S21*$L$2/100-AG32</f>
        <v>7.210526315789474</v>
      </c>
      <c r="T28" s="157"/>
      <c r="U28" s="157"/>
      <c r="V28" s="158"/>
      <c r="W28" s="153">
        <f t="shared" si="1"/>
        <v>90.85263157894737</v>
      </c>
      <c r="X28" s="154"/>
      <c r="Y28" s="154"/>
      <c r="Z28" s="159"/>
      <c r="AA28" s="101">
        <f>IF(G21&lt;G20,$T$5*(G21-G20)*$L$3/100,$T$5*G21/100)</f>
        <v>1.12</v>
      </c>
      <c r="AB28" s="101"/>
      <c r="AC28" s="101">
        <f>IF(K21&lt;K20,$T$5*(K21-K20)*$L$3/100,$T$5*K21/100)</f>
        <v>0.7</v>
      </c>
      <c r="AD28" s="101"/>
      <c r="AE28" s="101">
        <f>IF(O21&lt;O20,$T$5*(O21-O20)*$L$3/100,$T$5*O21/100)</f>
        <v>0.5</v>
      </c>
      <c r="AF28" s="101"/>
      <c r="AG28" s="101">
        <f>IF(S21&lt;S20,$T$5*(S21-S20)*$L$3/100,$T$5*S21/100)</f>
        <v>0.2</v>
      </c>
      <c r="AH28" s="101"/>
      <c r="AI28" s="97">
        <f>SUM(AA28:AH28)</f>
        <v>2.5200000000000005</v>
      </c>
      <c r="AJ28" s="98"/>
      <c r="AK28" s="98"/>
      <c r="AL28" s="2" t="s">
        <v>277</v>
      </c>
    </row>
    <row r="29" spans="1:38" ht="12.75">
      <c r="A29" s="187"/>
      <c r="B29" s="125" t="s">
        <v>283</v>
      </c>
      <c r="C29" s="126"/>
      <c r="D29" s="126"/>
      <c r="E29" s="126"/>
      <c r="F29" s="161"/>
      <c r="G29" s="156">
        <f>G28-G25-G24+$AI31</f>
        <v>-5.821052631578947</v>
      </c>
      <c r="H29" s="157"/>
      <c r="I29" s="157"/>
      <c r="J29" s="158"/>
      <c r="K29" s="156">
        <f>K28-K25-K24+$AI31</f>
        <v>-12.56315789473684</v>
      </c>
      <c r="L29" s="157"/>
      <c r="M29" s="157"/>
      <c r="N29" s="158"/>
      <c r="O29" s="156">
        <f>O28-O25-O24+$AI31</f>
        <v>-16.973684210526315</v>
      </c>
      <c r="P29" s="157"/>
      <c r="Q29" s="157"/>
      <c r="R29" s="158"/>
      <c r="S29" s="156">
        <f>S28-S25-S24+$AI31</f>
        <v>-23.589473684210525</v>
      </c>
      <c r="T29" s="157"/>
      <c r="U29" s="157"/>
      <c r="V29" s="158"/>
      <c r="W29" s="153">
        <f t="shared" si="1"/>
        <v>-58.94736842105262</v>
      </c>
      <c r="X29" s="154"/>
      <c r="Y29" s="154"/>
      <c r="Z29" s="159"/>
      <c r="AA29" s="101">
        <f>IF(G21&lt;G20,0,$T$3*G21/100)</f>
        <v>0</v>
      </c>
      <c r="AB29" s="101"/>
      <c r="AC29" s="101">
        <f>IF(K21&lt;K20,0,$T$3*K21/100)</f>
        <v>0</v>
      </c>
      <c r="AD29" s="101"/>
      <c r="AE29" s="101">
        <f>IF(O21&lt;O20,0,$T$3*O21/100)</f>
        <v>0</v>
      </c>
      <c r="AF29" s="101"/>
      <c r="AG29" s="101">
        <f>IF(S21&lt;S20,0,$T$3*S21/100)</f>
        <v>0</v>
      </c>
      <c r="AH29" s="101"/>
      <c r="AI29" s="97">
        <f>SUM(AA29:AH29)</f>
        <v>0</v>
      </c>
      <c r="AJ29" s="98"/>
      <c r="AK29" s="98"/>
      <c r="AL29" s="2" t="s">
        <v>248</v>
      </c>
    </row>
    <row r="30" spans="1:38" ht="12.75">
      <c r="A30" s="187"/>
      <c r="B30" s="125" t="s">
        <v>45</v>
      </c>
      <c r="C30" s="126"/>
      <c r="D30" s="126"/>
      <c r="E30" s="126"/>
      <c r="F30" s="161"/>
      <c r="G30" s="156">
        <f>G29+G27</f>
        <v>-5.821052631578947</v>
      </c>
      <c r="H30" s="157"/>
      <c r="I30" s="157"/>
      <c r="J30" s="158"/>
      <c r="K30" s="160">
        <f>K29+K27</f>
        <v>-12.56315789473684</v>
      </c>
      <c r="L30" s="157"/>
      <c r="M30" s="157"/>
      <c r="N30" s="158"/>
      <c r="O30" s="156">
        <f>O29+O27</f>
        <v>-16.973684210526315</v>
      </c>
      <c r="P30" s="157"/>
      <c r="Q30" s="157"/>
      <c r="R30" s="158"/>
      <c r="S30" s="160">
        <f>S29+S27</f>
        <v>-23.589473684210525</v>
      </c>
      <c r="T30" s="157"/>
      <c r="U30" s="157"/>
      <c r="V30" s="158"/>
      <c r="W30" s="153">
        <f t="shared" si="1"/>
        <v>-58.94736842105262</v>
      </c>
      <c r="X30" s="154"/>
      <c r="Y30" s="154"/>
      <c r="Z30" s="155"/>
      <c r="AA30" s="101">
        <f>IF(G21&lt;G20,0,$T$4*G21/100)</f>
        <v>0</v>
      </c>
      <c r="AB30" s="101"/>
      <c r="AC30" s="101">
        <f>IF(K21&lt;K20,0,$T$4*K21/100)</f>
        <v>0</v>
      </c>
      <c r="AD30" s="101"/>
      <c r="AE30" s="101">
        <f>IF(O21&lt;O20,0,$T$4*O21/100)</f>
        <v>0</v>
      </c>
      <c r="AF30" s="101"/>
      <c r="AG30" s="101">
        <f>IF(S21&lt;S20,0,$T$4*S21/100)</f>
        <v>0</v>
      </c>
      <c r="AH30" s="101"/>
      <c r="AI30" s="97">
        <f>SUM(AA30:AH30)</f>
        <v>0</v>
      </c>
      <c r="AJ30" s="98"/>
      <c r="AK30" s="98"/>
      <c r="AL30" s="2" t="s">
        <v>281</v>
      </c>
    </row>
    <row r="31" spans="1:38" ht="12.75">
      <c r="A31" s="187"/>
      <c r="B31" s="194" t="s">
        <v>26</v>
      </c>
      <c r="C31" s="98"/>
      <c r="D31" s="98"/>
      <c r="E31" s="98"/>
      <c r="F31" s="195"/>
      <c r="G31" s="196">
        <f>$AG23/100*$AL$3</f>
        <v>0</v>
      </c>
      <c r="H31" s="197"/>
      <c r="I31" s="197"/>
      <c r="J31" s="198"/>
      <c r="K31" s="137">
        <f>$AG23/100*$AL$4</f>
        <v>0</v>
      </c>
      <c r="L31" s="138"/>
      <c r="M31" s="138"/>
      <c r="N31" s="139"/>
      <c r="O31" s="137">
        <f>$AG23/100*$AL$4</f>
        <v>0</v>
      </c>
      <c r="P31" s="138"/>
      <c r="Q31" s="138"/>
      <c r="R31" s="139"/>
      <c r="S31" s="137">
        <f>$AG23/100*$AL$4</f>
        <v>0</v>
      </c>
      <c r="T31" s="138"/>
      <c r="U31" s="138"/>
      <c r="V31" s="139"/>
      <c r="W31" s="153">
        <f t="shared" si="1"/>
        <v>0</v>
      </c>
      <c r="X31" s="154"/>
      <c r="Y31" s="154"/>
      <c r="Z31" s="155"/>
      <c r="AI31" s="224">
        <f>'ЦФУ Продажи'!J$59</f>
        <v>0</v>
      </c>
      <c r="AJ31" s="224"/>
      <c r="AK31" s="224"/>
      <c r="AL31" s="2" t="s">
        <v>280</v>
      </c>
    </row>
    <row r="32" spans="1:38" ht="13.5" thickBot="1">
      <c r="A32" s="187"/>
      <c r="B32" s="191" t="s">
        <v>28</v>
      </c>
      <c r="C32" s="192"/>
      <c r="D32" s="192"/>
      <c r="E32" s="192"/>
      <c r="F32" s="193"/>
      <c r="G32" s="149">
        <f>IF(G31&lt;0,G24,G24+G31)</f>
        <v>26.2</v>
      </c>
      <c r="H32" s="147"/>
      <c r="I32" s="147"/>
      <c r="J32" s="148"/>
      <c r="K32" s="146">
        <f>IF(K31&lt;0,K24,K24+K31)</f>
        <v>17.799999999999997</v>
      </c>
      <c r="L32" s="147"/>
      <c r="M32" s="147"/>
      <c r="N32" s="148"/>
      <c r="O32" s="149">
        <f>IF(O31&lt;0,O24,O24+O31)</f>
        <v>15</v>
      </c>
      <c r="P32" s="147"/>
      <c r="Q32" s="147"/>
      <c r="R32" s="148"/>
      <c r="S32" s="146">
        <f>IF(S31&lt;0,S24,S24+S31)</f>
        <v>10.8</v>
      </c>
      <c r="T32" s="147"/>
      <c r="U32" s="147"/>
      <c r="V32" s="148"/>
      <c r="W32" s="150">
        <f t="shared" si="1"/>
        <v>69.8</v>
      </c>
      <c r="X32" s="151"/>
      <c r="Y32" s="151"/>
      <c r="Z32" s="152"/>
      <c r="AA32" s="101">
        <f>IF($AI28&gt;0,IF(AA28&gt;=0,0,G21*($T$2+$T$3+$T$5)/100-AA28),IF(G21&lt;G20,G21*($T$2+$T$3+$T$5)/100,AA28))</f>
        <v>0</v>
      </c>
      <c r="AB32" s="101"/>
      <c r="AC32" s="101">
        <f>IF($AI28&gt;0,IF(AC28&gt;=0,0,K21*($T$2+$T$3+$T$4+$T$5)/100-AC28),IF(K21&lt;K20,K21*($T$2+$T$3+$T$4+$T$5)/100,AC28))</f>
        <v>0</v>
      </c>
      <c r="AD32" s="101"/>
      <c r="AE32" s="101">
        <f>IF($AI28&gt;0,IF(AE28&gt;=0,0,O21*($T$2+$T$3+$T$4+$T$5)/100-AE28),IF(O21&lt;O20,O21*($T$2+$T$3+$T$4+$T$5)/100,AE28))</f>
        <v>0</v>
      </c>
      <c r="AF32" s="101"/>
      <c r="AG32" s="101">
        <f>IF($AI28&gt;0,IF(AG28&gt;=0,0,S21*($T$2+$T$3+$T$4+$T$5)/100-AG28),IF(S21&lt;S20,S21*($T$2+$T$3+$T$4+$T$5)/100,AG28))</f>
        <v>0</v>
      </c>
      <c r="AH32" s="101"/>
      <c r="AI32" s="97">
        <f>SUM(AA32:AH32)</f>
        <v>0</v>
      </c>
      <c r="AJ32" s="98"/>
      <c r="AK32" s="98"/>
      <c r="AL32" s="2" t="s">
        <v>218</v>
      </c>
    </row>
    <row r="33" spans="1:35" ht="12.75" customHeight="1">
      <c r="A33" s="188" t="s">
        <v>63</v>
      </c>
      <c r="B33" s="93" t="s">
        <v>23</v>
      </c>
      <c r="C33" s="94"/>
      <c r="D33" s="94"/>
      <c r="E33" s="94"/>
      <c r="F33" s="199"/>
      <c r="G33" s="185">
        <v>1120</v>
      </c>
      <c r="H33" s="183"/>
      <c r="I33" s="183"/>
      <c r="J33" s="184"/>
      <c r="K33" s="182">
        <v>1000</v>
      </c>
      <c r="L33" s="183"/>
      <c r="M33" s="183"/>
      <c r="N33" s="184"/>
      <c r="O33" s="185">
        <v>700</v>
      </c>
      <c r="P33" s="183"/>
      <c r="Q33" s="183"/>
      <c r="R33" s="184"/>
      <c r="S33" s="182">
        <v>500</v>
      </c>
      <c r="T33" s="183"/>
      <c r="U33" s="183"/>
      <c r="V33" s="184"/>
      <c r="W33" s="170">
        <f t="shared" si="0"/>
        <v>3320</v>
      </c>
      <c r="X33" s="171"/>
      <c r="Y33" s="171"/>
      <c r="Z33" s="172"/>
      <c r="AA33" s="93" t="s">
        <v>53</v>
      </c>
      <c r="AB33" s="94"/>
      <c r="AC33" s="94"/>
      <c r="AD33" s="94"/>
      <c r="AE33" s="94"/>
      <c r="AF33" s="94"/>
      <c r="AG33" s="173">
        <f>(W38+$N$2*AG39)/W33*100+$Q$2+$T$2+$T$3+$T$5</f>
        <v>4.873493975903615</v>
      </c>
      <c r="AH33" s="174"/>
      <c r="AI33" s="175"/>
    </row>
    <row r="34" spans="1:36" ht="12.75">
      <c r="A34" s="187"/>
      <c r="B34" s="125" t="s">
        <v>24</v>
      </c>
      <c r="C34" s="126"/>
      <c r="D34" s="126"/>
      <c r="E34" s="126"/>
      <c r="F34" s="161"/>
      <c r="G34" s="169">
        <v>1120</v>
      </c>
      <c r="H34" s="167"/>
      <c r="I34" s="167"/>
      <c r="J34" s="168"/>
      <c r="K34" s="166">
        <v>1000</v>
      </c>
      <c r="L34" s="167"/>
      <c r="M34" s="167"/>
      <c r="N34" s="168"/>
      <c r="O34" s="169">
        <v>700</v>
      </c>
      <c r="P34" s="167"/>
      <c r="Q34" s="167"/>
      <c r="R34" s="168"/>
      <c r="S34" s="166">
        <v>500</v>
      </c>
      <c r="T34" s="167"/>
      <c r="U34" s="167"/>
      <c r="V34" s="168"/>
      <c r="W34" s="153">
        <f t="shared" si="0"/>
        <v>3320</v>
      </c>
      <c r="X34" s="154"/>
      <c r="Y34" s="154"/>
      <c r="Z34" s="155"/>
      <c r="AA34" s="125" t="s">
        <v>54</v>
      </c>
      <c r="AB34" s="126"/>
      <c r="AC34" s="126"/>
      <c r="AD34" s="126"/>
      <c r="AE34" s="126"/>
      <c r="AF34" s="126"/>
      <c r="AG34" s="180">
        <f>(AG33-$L$2)*W33/100</f>
        <v>42.105263157894754</v>
      </c>
      <c r="AH34" s="180"/>
      <c r="AI34" s="181"/>
      <c r="AJ34" s="2" t="s">
        <v>284</v>
      </c>
    </row>
    <row r="35" spans="1:43" ht="12.75">
      <c r="A35" s="187"/>
      <c r="B35" s="125" t="s">
        <v>29</v>
      </c>
      <c r="C35" s="126"/>
      <c r="D35" s="126"/>
      <c r="E35" s="126"/>
      <c r="F35" s="161"/>
      <c r="G35" s="156">
        <f>IF(G33&lt;=G34,$N$2+G34/100*($Q$2+$T$2)+$AI42/$AG39+$AI44+IF(AI41&gt;0,AI41,0),$N$2+G34/100*$Q$2+$AI42/$AG39+$AI44+IF(AI41&gt;0,AI41,0))</f>
        <v>27</v>
      </c>
      <c r="H35" s="157"/>
      <c r="I35" s="157"/>
      <c r="J35" s="158"/>
      <c r="K35" s="156">
        <f>IF(K33&lt;=K34,$N$2+K34/100*($Q$2+$T$2)+$AI42/$AG39+$AI44,$N$2+K34/100*$Q$2+$AI42/$AG39+$AI44)</f>
        <v>22</v>
      </c>
      <c r="L35" s="157"/>
      <c r="M35" s="157"/>
      <c r="N35" s="158"/>
      <c r="O35" s="156">
        <f>IF(O33&lt;=O34,$N$2+O34/100*($Q$2+$T$2)+$AI42/$AG39+$AI44,$N$2+O34/100*$Q$2+$AI42/$AG39+$AI44)</f>
        <v>17.799999999999997</v>
      </c>
      <c r="P35" s="157"/>
      <c r="Q35" s="157"/>
      <c r="R35" s="158"/>
      <c r="S35" s="156">
        <f>IF(S33&lt;=S34,$N$2+S34/100*($Q$2+$T$2)+$AI42/$AG39+$AI44,$N$2+S34/100*$Q$2+$AI42/$AG39+$AI44)</f>
        <v>15</v>
      </c>
      <c r="T35" s="157"/>
      <c r="U35" s="157"/>
      <c r="V35" s="158"/>
      <c r="W35" s="153">
        <f aca="true" t="shared" si="2" ref="W35:W45">G35+K35+O35+S35</f>
        <v>81.8</v>
      </c>
      <c r="X35" s="154"/>
      <c r="Y35" s="154"/>
      <c r="Z35" s="155"/>
      <c r="AA35" s="125" t="s">
        <v>55</v>
      </c>
      <c r="AB35" s="126"/>
      <c r="AC35" s="126"/>
      <c r="AD35" s="126"/>
      <c r="AE35" s="126"/>
      <c r="AF35" s="126"/>
      <c r="AG35" s="122">
        <f>SUM(AJ36:AQ36)+AG34</f>
        <v>42.105263157894754</v>
      </c>
      <c r="AH35" s="123"/>
      <c r="AI35" s="124"/>
      <c r="AJ35" s="225">
        <f>$N$2+G33*($Q$2+$T$2+$T$3/$AG39)/100+$T$5*$W33/100</f>
        <v>27</v>
      </c>
      <c r="AK35" s="226"/>
      <c r="AL35" s="225">
        <f>$N$2+K33*($Q$2+$T$2+$T$3/$AG39)/100</f>
        <v>22</v>
      </c>
      <c r="AM35" s="226"/>
      <c r="AN35" s="225">
        <f>$N$2+O33*($Q$2+$T$2+$T$3/$AG39)/100</f>
        <v>17.799999999999997</v>
      </c>
      <c r="AO35" s="226"/>
      <c r="AP35" s="225">
        <f>$N$2+S33*($Q$2+$T$2+$T$3/$AG39)/100</f>
        <v>15</v>
      </c>
      <c r="AQ35" s="226"/>
    </row>
    <row r="36" spans="1:43" ht="12.75">
      <c r="A36" s="187"/>
      <c r="B36" s="125" t="s">
        <v>10</v>
      </c>
      <c r="C36" s="126"/>
      <c r="D36" s="126"/>
      <c r="E36" s="126"/>
      <c r="F36" s="161"/>
      <c r="G36" s="169">
        <v>20</v>
      </c>
      <c r="H36" s="167"/>
      <c r="I36" s="167"/>
      <c r="J36" s="168"/>
      <c r="K36" s="166">
        <v>15</v>
      </c>
      <c r="L36" s="167"/>
      <c r="M36" s="167"/>
      <c r="N36" s="168"/>
      <c r="O36" s="169">
        <v>10</v>
      </c>
      <c r="P36" s="167"/>
      <c r="Q36" s="167"/>
      <c r="R36" s="168"/>
      <c r="S36" s="166">
        <v>8</v>
      </c>
      <c r="T36" s="167"/>
      <c r="U36" s="167"/>
      <c r="V36" s="168"/>
      <c r="W36" s="153">
        <f t="shared" si="2"/>
        <v>53</v>
      </c>
      <c r="X36" s="154"/>
      <c r="Y36" s="154"/>
      <c r="Z36" s="155"/>
      <c r="AA36" s="125" t="s">
        <v>56</v>
      </c>
      <c r="AB36" s="126"/>
      <c r="AC36" s="126"/>
      <c r="AD36" s="126"/>
      <c r="AE36" s="126"/>
      <c r="AF36" s="126"/>
      <c r="AG36" s="134">
        <f>W43+AG35</f>
        <v>0</v>
      </c>
      <c r="AH36" s="134"/>
      <c r="AI36" s="135"/>
      <c r="AJ36" s="225">
        <f>IF(AJ35&gt;G36,0,G36-AJ35)</f>
        <v>0</v>
      </c>
      <c r="AK36" s="226"/>
      <c r="AL36" s="225">
        <f>IF(AL35&gt;K36,0,K36-AL35)</f>
        <v>0</v>
      </c>
      <c r="AM36" s="226"/>
      <c r="AN36" s="225">
        <f>IF(AN35&gt;O36,0,O36-AN35)</f>
        <v>0</v>
      </c>
      <c r="AO36" s="226"/>
      <c r="AP36" s="225">
        <f>IF(AP35&gt;S36,0,S36-AP35)</f>
        <v>0</v>
      </c>
      <c r="AQ36" s="226"/>
    </row>
    <row r="37" spans="1:35" ht="13.5" thickBot="1">
      <c r="A37" s="187"/>
      <c r="B37" s="125" t="s">
        <v>58</v>
      </c>
      <c r="C37" s="126"/>
      <c r="D37" s="126"/>
      <c r="E37" s="126"/>
      <c r="F37" s="161"/>
      <c r="G37" s="156">
        <f>IF(G35&lt;G36,G36,G35)</f>
        <v>27</v>
      </c>
      <c r="H37" s="157"/>
      <c r="I37" s="157"/>
      <c r="J37" s="158"/>
      <c r="K37" s="160">
        <f>IF(K35&lt;K36,K36,K35)</f>
        <v>22</v>
      </c>
      <c r="L37" s="157"/>
      <c r="M37" s="157"/>
      <c r="N37" s="158"/>
      <c r="O37" s="156">
        <f>IF(O35&lt;O36,O36,O35)</f>
        <v>17.799999999999997</v>
      </c>
      <c r="P37" s="157"/>
      <c r="Q37" s="157"/>
      <c r="R37" s="158"/>
      <c r="S37" s="160">
        <f>IF(S35&lt;S36,S36,S35)</f>
        <v>15</v>
      </c>
      <c r="T37" s="157"/>
      <c r="U37" s="157"/>
      <c r="V37" s="158"/>
      <c r="W37" s="153">
        <f t="shared" si="2"/>
        <v>81.8</v>
      </c>
      <c r="X37" s="154"/>
      <c r="Y37" s="154"/>
      <c r="Z37" s="155"/>
      <c r="AA37" s="92" t="s">
        <v>57</v>
      </c>
      <c r="AB37" s="90"/>
      <c r="AC37" s="90"/>
      <c r="AD37" s="90"/>
      <c r="AE37" s="90"/>
      <c r="AF37" s="90"/>
      <c r="AG37" s="91">
        <f>-AG35+AG36-W44</f>
        <v>-42.105263157894754</v>
      </c>
      <c r="AH37" s="91"/>
      <c r="AI37" s="85"/>
    </row>
    <row r="38" spans="1:35" ht="12.75">
      <c r="A38" s="187"/>
      <c r="B38" s="125" t="s">
        <v>41</v>
      </c>
      <c r="C38" s="126"/>
      <c r="D38" s="126"/>
      <c r="E38" s="126"/>
      <c r="F38" s="161"/>
      <c r="G38" s="156">
        <v>20</v>
      </c>
      <c r="H38" s="157"/>
      <c r="I38" s="157"/>
      <c r="J38" s="158"/>
      <c r="K38" s="160">
        <v>20</v>
      </c>
      <c r="L38" s="157"/>
      <c r="M38" s="157"/>
      <c r="N38" s="158"/>
      <c r="O38" s="156">
        <v>20</v>
      </c>
      <c r="P38" s="157"/>
      <c r="Q38" s="157"/>
      <c r="R38" s="158"/>
      <c r="S38" s="160">
        <v>20</v>
      </c>
      <c r="T38" s="157"/>
      <c r="U38" s="157"/>
      <c r="V38" s="158"/>
      <c r="W38" s="153">
        <f t="shared" si="2"/>
        <v>80</v>
      </c>
      <c r="X38" s="154"/>
      <c r="Y38" s="154"/>
      <c r="Z38" s="155"/>
      <c r="AA38" s="86" t="s">
        <v>59</v>
      </c>
      <c r="AB38" s="87"/>
      <c r="AC38" s="87"/>
      <c r="AD38" s="87"/>
      <c r="AE38" s="87"/>
      <c r="AF38" s="87"/>
      <c r="AG38" s="88">
        <f>AG35+AG37</f>
        <v>0</v>
      </c>
      <c r="AH38" s="89"/>
      <c r="AI38" s="84"/>
    </row>
    <row r="39" spans="1:35" ht="12.75">
      <c r="A39" s="187"/>
      <c r="B39" s="125" t="s">
        <v>42</v>
      </c>
      <c r="C39" s="126"/>
      <c r="D39" s="126"/>
      <c r="E39" s="126"/>
      <c r="F39" s="161"/>
      <c r="G39" s="169">
        <v>20</v>
      </c>
      <c r="H39" s="167"/>
      <c r="I39" s="167"/>
      <c r="J39" s="168"/>
      <c r="K39" s="166">
        <v>20</v>
      </c>
      <c r="L39" s="167"/>
      <c r="M39" s="167"/>
      <c r="N39" s="168"/>
      <c r="O39" s="169">
        <v>20</v>
      </c>
      <c r="P39" s="167"/>
      <c r="Q39" s="167"/>
      <c r="R39" s="168"/>
      <c r="S39" s="166">
        <v>20</v>
      </c>
      <c r="T39" s="167"/>
      <c r="U39" s="167"/>
      <c r="V39" s="168"/>
      <c r="W39" s="153">
        <f t="shared" si="2"/>
        <v>80</v>
      </c>
      <c r="X39" s="154"/>
      <c r="Y39" s="154"/>
      <c r="Z39" s="159"/>
      <c r="AA39" s="102" t="s">
        <v>279</v>
      </c>
      <c r="AB39" s="103"/>
      <c r="AC39" s="103"/>
      <c r="AD39" s="103"/>
      <c r="AE39" s="103"/>
      <c r="AF39" s="103"/>
      <c r="AG39" s="95">
        <v>4</v>
      </c>
      <c r="AH39" s="95"/>
      <c r="AI39" s="95"/>
    </row>
    <row r="40" spans="1:35" ht="12.75">
      <c r="A40" s="187"/>
      <c r="B40" s="125" t="s">
        <v>43</v>
      </c>
      <c r="C40" s="126"/>
      <c r="D40" s="126"/>
      <c r="E40" s="126"/>
      <c r="F40" s="161"/>
      <c r="G40" s="165">
        <f>G38-G39</f>
        <v>0</v>
      </c>
      <c r="H40" s="163"/>
      <c r="I40" s="163"/>
      <c r="J40" s="164"/>
      <c r="K40" s="162">
        <f>K38-K39</f>
        <v>0</v>
      </c>
      <c r="L40" s="163"/>
      <c r="M40" s="163"/>
      <c r="N40" s="164"/>
      <c r="O40" s="165">
        <f>O38-O39</f>
        <v>0</v>
      </c>
      <c r="P40" s="163"/>
      <c r="Q40" s="163"/>
      <c r="R40" s="164"/>
      <c r="S40" s="162">
        <f>S38-S39</f>
        <v>0</v>
      </c>
      <c r="T40" s="163"/>
      <c r="U40" s="163"/>
      <c r="V40" s="164"/>
      <c r="W40" s="153">
        <f t="shared" si="2"/>
        <v>0</v>
      </c>
      <c r="X40" s="154"/>
      <c r="Y40" s="154"/>
      <c r="Z40" s="159"/>
      <c r="AA40" s="126">
        <f>W34*$L$2/100-AI45</f>
        <v>119.69473684210527</v>
      </c>
      <c r="AB40" s="126"/>
      <c r="AC40" s="126"/>
      <c r="AD40" s="126"/>
      <c r="AE40" s="126"/>
      <c r="AF40" s="126"/>
      <c r="AG40" s="133"/>
      <c r="AH40" s="133"/>
      <c r="AI40" s="133"/>
    </row>
    <row r="41" spans="1:38" ht="12.75">
      <c r="A41" s="187"/>
      <c r="B41" s="125" t="s">
        <v>30</v>
      </c>
      <c r="C41" s="126"/>
      <c r="D41" s="126"/>
      <c r="E41" s="126"/>
      <c r="F41" s="161"/>
      <c r="G41" s="156">
        <f>G34*$L$2/100-AA45</f>
        <v>40.37894736842105</v>
      </c>
      <c r="H41" s="157"/>
      <c r="I41" s="157"/>
      <c r="J41" s="158"/>
      <c r="K41" s="156">
        <f>K34*$L$2/100-AC45</f>
        <v>36.05263157894737</v>
      </c>
      <c r="L41" s="157"/>
      <c r="M41" s="157"/>
      <c r="N41" s="158"/>
      <c r="O41" s="156">
        <f>O34*$L$2/100-AE45</f>
        <v>25.236842105263158</v>
      </c>
      <c r="P41" s="157"/>
      <c r="Q41" s="157"/>
      <c r="R41" s="158"/>
      <c r="S41" s="156">
        <f>S34*$L$2/100-AG45</f>
        <v>18.026315789473685</v>
      </c>
      <c r="T41" s="157"/>
      <c r="U41" s="157"/>
      <c r="V41" s="158"/>
      <c r="W41" s="153">
        <f t="shared" si="2"/>
        <v>119.69473684210526</v>
      </c>
      <c r="X41" s="154"/>
      <c r="Y41" s="154"/>
      <c r="Z41" s="159"/>
      <c r="AA41" s="101">
        <f>IF(G34&lt;G33,$T$5*(G34-G33)*$L$3/100,$T$5*G34/100)</f>
        <v>1.12</v>
      </c>
      <c r="AB41" s="101"/>
      <c r="AC41" s="101">
        <f>IF(K34&lt;K33,$T$5*(K34-K33)*$L$3/100,$T$5*K34/100)</f>
        <v>1</v>
      </c>
      <c r="AD41" s="101"/>
      <c r="AE41" s="101">
        <f>IF(O34&lt;O33,$T$5*(O34-O33)*$L$3/100,$T$5*O34/100)</f>
        <v>0.7</v>
      </c>
      <c r="AF41" s="101"/>
      <c r="AG41" s="101">
        <f>IF(S34&lt;S33,$T$5*(S34-S33)*$L$3/100,$T$5*S34/100)</f>
        <v>0.5</v>
      </c>
      <c r="AH41" s="101"/>
      <c r="AI41" s="97">
        <f>SUM(AA41:AH41)</f>
        <v>3.3200000000000003</v>
      </c>
      <c r="AJ41" s="98"/>
      <c r="AK41" s="98"/>
      <c r="AL41" s="2" t="s">
        <v>277</v>
      </c>
    </row>
    <row r="42" spans="1:38" ht="12.75">
      <c r="A42" s="187"/>
      <c r="B42" s="125" t="s">
        <v>283</v>
      </c>
      <c r="C42" s="126"/>
      <c r="D42" s="126"/>
      <c r="E42" s="126"/>
      <c r="F42" s="161"/>
      <c r="G42" s="156">
        <f>G41-G38-G37+$AI44</f>
        <v>-6.621052631578948</v>
      </c>
      <c r="H42" s="157"/>
      <c r="I42" s="157"/>
      <c r="J42" s="158"/>
      <c r="K42" s="156">
        <f>K41-K38-K37+$AI44</f>
        <v>-5.94736842105263</v>
      </c>
      <c r="L42" s="157"/>
      <c r="M42" s="157"/>
      <c r="N42" s="158"/>
      <c r="O42" s="156">
        <f>O41-O38-O37+$AI44</f>
        <v>-12.56315789473684</v>
      </c>
      <c r="P42" s="157"/>
      <c r="Q42" s="157"/>
      <c r="R42" s="158"/>
      <c r="S42" s="156">
        <f>S41-S38-S37+$AI44</f>
        <v>-16.973684210526315</v>
      </c>
      <c r="T42" s="157"/>
      <c r="U42" s="157"/>
      <c r="V42" s="158"/>
      <c r="W42" s="153">
        <f t="shared" si="2"/>
        <v>-42.10526315789473</v>
      </c>
      <c r="X42" s="154"/>
      <c r="Y42" s="154"/>
      <c r="Z42" s="159"/>
      <c r="AA42" s="101">
        <f>IF(G34&lt;G33,0,$T$3*G34/100)</f>
        <v>0</v>
      </c>
      <c r="AB42" s="101"/>
      <c r="AC42" s="101">
        <f>IF(K34&lt;K33,0,$T$3*K34/100)</f>
        <v>0</v>
      </c>
      <c r="AD42" s="101"/>
      <c r="AE42" s="101">
        <f>IF(O34&lt;O33,0,$T$3*O34/100)</f>
        <v>0</v>
      </c>
      <c r="AF42" s="101"/>
      <c r="AG42" s="101">
        <f>IF(S34&lt;S33,0,$T$3*S34/100)</f>
        <v>0</v>
      </c>
      <c r="AH42" s="101"/>
      <c r="AI42" s="97">
        <f>SUM(AA42:AH42)</f>
        <v>0</v>
      </c>
      <c r="AJ42" s="98"/>
      <c r="AK42" s="98"/>
      <c r="AL42" s="2" t="s">
        <v>248</v>
      </c>
    </row>
    <row r="43" spans="1:38" ht="12.75">
      <c r="A43" s="187"/>
      <c r="B43" s="125" t="s">
        <v>45</v>
      </c>
      <c r="C43" s="126"/>
      <c r="D43" s="126"/>
      <c r="E43" s="126"/>
      <c r="F43" s="161"/>
      <c r="G43" s="156">
        <f>G42+G40</f>
        <v>-6.621052631578948</v>
      </c>
      <c r="H43" s="157"/>
      <c r="I43" s="157"/>
      <c r="J43" s="158"/>
      <c r="K43" s="160">
        <f>K42+K40</f>
        <v>-5.94736842105263</v>
      </c>
      <c r="L43" s="157"/>
      <c r="M43" s="157"/>
      <c r="N43" s="158"/>
      <c r="O43" s="156">
        <f>O42+O40</f>
        <v>-12.56315789473684</v>
      </c>
      <c r="P43" s="157"/>
      <c r="Q43" s="157"/>
      <c r="R43" s="158"/>
      <c r="S43" s="160">
        <f>S42+S40</f>
        <v>-16.973684210526315</v>
      </c>
      <c r="T43" s="157"/>
      <c r="U43" s="157"/>
      <c r="V43" s="158"/>
      <c r="W43" s="153">
        <f t="shared" si="2"/>
        <v>-42.10526315789473</v>
      </c>
      <c r="X43" s="154"/>
      <c r="Y43" s="154"/>
      <c r="Z43" s="155"/>
      <c r="AA43" s="101">
        <f>IF(G34&lt;G33,0,$T$4*G34/100)</f>
        <v>0</v>
      </c>
      <c r="AB43" s="101"/>
      <c r="AC43" s="101">
        <f>IF(K34&lt;K33,0,$T$4*K34/100)</f>
        <v>0</v>
      </c>
      <c r="AD43" s="101"/>
      <c r="AE43" s="101">
        <f>IF(O34&lt;O33,0,$T$4*O34/100)</f>
        <v>0</v>
      </c>
      <c r="AF43" s="101"/>
      <c r="AG43" s="101">
        <f>IF(S34&lt;S33,0,$T$4*S34/100)</f>
        <v>0</v>
      </c>
      <c r="AH43" s="101"/>
      <c r="AI43" s="97">
        <f>SUM(AA43:AH43)</f>
        <v>0</v>
      </c>
      <c r="AJ43" s="98"/>
      <c r="AK43" s="98"/>
      <c r="AL43" s="2" t="s">
        <v>281</v>
      </c>
    </row>
    <row r="44" spans="1:38" ht="12.75">
      <c r="A44" s="187"/>
      <c r="B44" s="194" t="s">
        <v>26</v>
      </c>
      <c r="C44" s="98"/>
      <c r="D44" s="98"/>
      <c r="E44" s="98"/>
      <c r="F44" s="195"/>
      <c r="G44" s="196">
        <f>$AG36/100*$AL$3</f>
        <v>0</v>
      </c>
      <c r="H44" s="197"/>
      <c r="I44" s="197"/>
      <c r="J44" s="198"/>
      <c r="K44" s="137">
        <f>$AG36/100*$AL$4</f>
        <v>0</v>
      </c>
      <c r="L44" s="138"/>
      <c r="M44" s="138"/>
      <c r="N44" s="139"/>
      <c r="O44" s="137">
        <f>$AG36/100*$AL$4</f>
        <v>0</v>
      </c>
      <c r="P44" s="138"/>
      <c r="Q44" s="138"/>
      <c r="R44" s="139"/>
      <c r="S44" s="137">
        <f>$AG36/100*$AL$4</f>
        <v>0</v>
      </c>
      <c r="T44" s="138"/>
      <c r="U44" s="138"/>
      <c r="V44" s="139"/>
      <c r="W44" s="153">
        <f t="shared" si="2"/>
        <v>0</v>
      </c>
      <c r="X44" s="154"/>
      <c r="Y44" s="154"/>
      <c r="Z44" s="155"/>
      <c r="AI44" s="224">
        <f>'ЦФУ Продажи'!M$59</f>
        <v>0</v>
      </c>
      <c r="AJ44" s="224"/>
      <c r="AK44" s="224"/>
      <c r="AL44" s="2" t="s">
        <v>280</v>
      </c>
    </row>
    <row r="45" spans="1:38" ht="13.5" thickBot="1">
      <c r="A45" s="187"/>
      <c r="B45" s="191" t="s">
        <v>28</v>
      </c>
      <c r="C45" s="192"/>
      <c r="D45" s="192"/>
      <c r="E45" s="192"/>
      <c r="F45" s="193"/>
      <c r="G45" s="149">
        <f>IF(G44&lt;0,G37,G37+G44)</f>
        <v>27</v>
      </c>
      <c r="H45" s="147"/>
      <c r="I45" s="147"/>
      <c r="J45" s="148"/>
      <c r="K45" s="146">
        <f>IF(K44&lt;0,K37,K37+K44)</f>
        <v>22</v>
      </c>
      <c r="L45" s="147"/>
      <c r="M45" s="147"/>
      <c r="N45" s="148"/>
      <c r="O45" s="149">
        <f>IF(O44&lt;0,O37,O37+O44)</f>
        <v>17.799999999999997</v>
      </c>
      <c r="P45" s="147"/>
      <c r="Q45" s="147"/>
      <c r="R45" s="148"/>
      <c r="S45" s="146">
        <f>IF(S44&lt;0,S37,S37+S44)</f>
        <v>15</v>
      </c>
      <c r="T45" s="147"/>
      <c r="U45" s="147"/>
      <c r="V45" s="148"/>
      <c r="W45" s="150">
        <f t="shared" si="2"/>
        <v>81.8</v>
      </c>
      <c r="X45" s="151"/>
      <c r="Y45" s="151"/>
      <c r="Z45" s="152"/>
      <c r="AA45" s="101">
        <f>IF($AI41&gt;0,IF(AA41&gt;=0,0,G34*($T$2+$T$3+$T$5)/100-AA41),IF(G34&lt;G33,G34*($T$2+$T$3+$T$5)/100,AA41))</f>
        <v>0</v>
      </c>
      <c r="AB45" s="101"/>
      <c r="AC45" s="101">
        <f>IF($AI41&gt;0,IF(AC41&gt;=0,0,K34*($T$2+$T$3+$T$4+$T$5)/100-AC41),IF(K34&lt;K33,K34*($T$2+$T$3+$T$4+$T$5)/100,AC41))</f>
        <v>0</v>
      </c>
      <c r="AD45" s="101"/>
      <c r="AE45" s="101">
        <f>IF($AI41&gt;0,IF(AE41&gt;=0,0,O34*($T$2+$T$3+$T$4+$T$5)/100-AE41),IF(O34&lt;O33,O34*($T$2+$T$3+$T$4+$T$5)/100,AE41))</f>
        <v>0</v>
      </c>
      <c r="AF45" s="101"/>
      <c r="AG45" s="101">
        <f>IF($AI41&gt;0,IF(AG41&gt;=0,0,S34*($T$2+$T$3+$T$4+$T$5)/100-AG41),IF(S34&lt;S33,S34*($T$2+$T$3+$T$4+$T$5)/100,AG41))</f>
        <v>0</v>
      </c>
      <c r="AH45" s="101"/>
      <c r="AI45" s="97">
        <f>SUM(AA45:AH45)</f>
        <v>0</v>
      </c>
      <c r="AJ45" s="98"/>
      <c r="AK45" s="98"/>
      <c r="AL45" s="2" t="s">
        <v>218</v>
      </c>
    </row>
    <row r="46" spans="1:35" ht="12.75" customHeight="1">
      <c r="A46" s="188" t="s">
        <v>64</v>
      </c>
      <c r="B46" s="93" t="s">
        <v>23</v>
      </c>
      <c r="C46" s="94"/>
      <c r="D46" s="94"/>
      <c r="E46" s="94"/>
      <c r="F46" s="199"/>
      <c r="G46" s="185">
        <v>1120</v>
      </c>
      <c r="H46" s="183"/>
      <c r="I46" s="183"/>
      <c r="J46" s="184"/>
      <c r="K46" s="182">
        <v>1200</v>
      </c>
      <c r="L46" s="183"/>
      <c r="M46" s="183"/>
      <c r="N46" s="184"/>
      <c r="O46" s="185">
        <v>1000</v>
      </c>
      <c r="P46" s="183"/>
      <c r="Q46" s="183"/>
      <c r="R46" s="184"/>
      <c r="S46" s="182">
        <v>700</v>
      </c>
      <c r="T46" s="183"/>
      <c r="U46" s="183"/>
      <c r="V46" s="184"/>
      <c r="W46" s="170">
        <f aca="true" t="shared" si="3" ref="W46:W71">G46+K46+O46+S46</f>
        <v>4020</v>
      </c>
      <c r="X46" s="171"/>
      <c r="Y46" s="171"/>
      <c r="Z46" s="172"/>
      <c r="AA46" s="93" t="s">
        <v>53</v>
      </c>
      <c r="AB46" s="94"/>
      <c r="AC46" s="94"/>
      <c r="AD46" s="94"/>
      <c r="AE46" s="94"/>
      <c r="AF46" s="94"/>
      <c r="AG46" s="173">
        <f>(W51+$N$2*AG52)/W46*100+$Q$2+$T$2+$T$3+$T$5</f>
        <v>4.286069651741293</v>
      </c>
      <c r="AH46" s="174"/>
      <c r="AI46" s="175"/>
    </row>
    <row r="47" spans="1:36" ht="12.75">
      <c r="A47" s="187"/>
      <c r="B47" s="125" t="s">
        <v>24</v>
      </c>
      <c r="C47" s="126"/>
      <c r="D47" s="126"/>
      <c r="E47" s="126"/>
      <c r="F47" s="161"/>
      <c r="G47" s="169">
        <v>1120</v>
      </c>
      <c r="H47" s="167"/>
      <c r="I47" s="167"/>
      <c r="J47" s="168"/>
      <c r="K47" s="166">
        <v>1200</v>
      </c>
      <c r="L47" s="167"/>
      <c r="M47" s="167"/>
      <c r="N47" s="168"/>
      <c r="O47" s="169">
        <v>1000</v>
      </c>
      <c r="P47" s="167"/>
      <c r="Q47" s="167"/>
      <c r="R47" s="168"/>
      <c r="S47" s="166">
        <v>700</v>
      </c>
      <c r="T47" s="167"/>
      <c r="U47" s="167"/>
      <c r="V47" s="168"/>
      <c r="W47" s="153">
        <f t="shared" si="3"/>
        <v>4020</v>
      </c>
      <c r="X47" s="154"/>
      <c r="Y47" s="154"/>
      <c r="Z47" s="155"/>
      <c r="AA47" s="125" t="s">
        <v>54</v>
      </c>
      <c r="AB47" s="126"/>
      <c r="AC47" s="126"/>
      <c r="AD47" s="126"/>
      <c r="AE47" s="126"/>
      <c r="AF47" s="126"/>
      <c r="AG47" s="180">
        <f>(AG46-$L$2)*W46/100</f>
        <v>27.368421052631575</v>
      </c>
      <c r="AH47" s="180"/>
      <c r="AI47" s="181"/>
      <c r="AJ47" s="2" t="s">
        <v>284</v>
      </c>
    </row>
    <row r="48" spans="1:43" ht="12.75">
      <c r="A48" s="187"/>
      <c r="B48" s="125" t="s">
        <v>29</v>
      </c>
      <c r="C48" s="126"/>
      <c r="D48" s="126"/>
      <c r="E48" s="126"/>
      <c r="F48" s="161"/>
      <c r="G48" s="156">
        <f>IF(G46&lt;=G47,$N$2+G47/100*($Q$2+$T$2)+$AI55/$AG52+$AI57+IF(AI54&gt;0,AI54,0),$N$2+G47/100*$Q$2+$AI55/$AG52+$AI57+IF(AI54&gt;0,AI54,0))</f>
        <v>27.7</v>
      </c>
      <c r="H48" s="157"/>
      <c r="I48" s="157"/>
      <c r="J48" s="158"/>
      <c r="K48" s="156">
        <f>IF(K46&lt;=K47,$N$2+K47/100*($Q$2+$T$2)+$AI55/$AG52+$AI57,$N$2+K47/100*$Q$2+$AI55/$AG52+$AI57)</f>
        <v>24.799999999999997</v>
      </c>
      <c r="L48" s="157"/>
      <c r="M48" s="157"/>
      <c r="N48" s="158"/>
      <c r="O48" s="156">
        <f>IF(O46&lt;=O47,$N$2+O47/100*($Q$2+$T$2)+$AI55/$AG52+$AI57,$N$2+O47/100*$Q$2+$AI55/$AG52+$AI57)</f>
        <v>22</v>
      </c>
      <c r="P48" s="157"/>
      <c r="Q48" s="157"/>
      <c r="R48" s="158"/>
      <c r="S48" s="156">
        <f>IF(S46&lt;=S47,$N$2+S47/100*($Q$2+$T$2)+$AI55/$AG52+$AI57,$N$2+S47/100*$Q$2+$AI55/$AG52+$AI57)</f>
        <v>17.799999999999997</v>
      </c>
      <c r="T48" s="157"/>
      <c r="U48" s="157"/>
      <c r="V48" s="158"/>
      <c r="W48" s="153">
        <f t="shared" si="3"/>
        <v>92.3</v>
      </c>
      <c r="X48" s="154"/>
      <c r="Y48" s="154"/>
      <c r="Z48" s="155"/>
      <c r="AA48" s="125" t="s">
        <v>55</v>
      </c>
      <c r="AB48" s="126"/>
      <c r="AC48" s="126"/>
      <c r="AD48" s="126"/>
      <c r="AE48" s="126"/>
      <c r="AF48" s="126"/>
      <c r="AG48" s="122">
        <f>SUM(AJ49:AQ49)+AG47</f>
        <v>27.368421052631575</v>
      </c>
      <c r="AH48" s="123"/>
      <c r="AI48" s="124"/>
      <c r="AJ48" s="225">
        <f>$N$2+G46*($Q$2+$T$2+$T$3/$AG52)/100+$T$5*$W46/100</f>
        <v>27.7</v>
      </c>
      <c r="AK48" s="226"/>
      <c r="AL48" s="225">
        <f>$N$2+K46*($Q$2+$T$2+$T$3/$AG52)/100</f>
        <v>24.8</v>
      </c>
      <c r="AM48" s="226"/>
      <c r="AN48" s="225">
        <f>$N$2+O46*($Q$2+$T$2+$T$3/$AG52)/100</f>
        <v>22</v>
      </c>
      <c r="AO48" s="226"/>
      <c r="AP48" s="225">
        <f>$N$2+S46*($Q$2+$T$2+$T$3/$AG52)/100</f>
        <v>17.799999999999997</v>
      </c>
      <c r="AQ48" s="226"/>
    </row>
    <row r="49" spans="1:43" ht="12.75">
      <c r="A49" s="187"/>
      <c r="B49" s="125" t="s">
        <v>10</v>
      </c>
      <c r="C49" s="126"/>
      <c r="D49" s="126"/>
      <c r="E49" s="126"/>
      <c r="F49" s="161"/>
      <c r="G49" s="169">
        <v>20</v>
      </c>
      <c r="H49" s="167"/>
      <c r="I49" s="167"/>
      <c r="J49" s="168"/>
      <c r="K49" s="166">
        <v>15</v>
      </c>
      <c r="L49" s="167"/>
      <c r="M49" s="167"/>
      <c r="N49" s="168"/>
      <c r="O49" s="169">
        <v>10</v>
      </c>
      <c r="P49" s="167"/>
      <c r="Q49" s="167"/>
      <c r="R49" s="168"/>
      <c r="S49" s="166">
        <v>8</v>
      </c>
      <c r="T49" s="167"/>
      <c r="U49" s="167"/>
      <c r="V49" s="168"/>
      <c r="W49" s="153">
        <f t="shared" si="3"/>
        <v>53</v>
      </c>
      <c r="X49" s="154"/>
      <c r="Y49" s="154"/>
      <c r="Z49" s="155"/>
      <c r="AA49" s="125" t="s">
        <v>56</v>
      </c>
      <c r="AB49" s="126"/>
      <c r="AC49" s="126"/>
      <c r="AD49" s="126"/>
      <c r="AE49" s="126"/>
      <c r="AF49" s="126"/>
      <c r="AG49" s="134">
        <f>W56+AG48</f>
        <v>0</v>
      </c>
      <c r="AH49" s="134"/>
      <c r="AI49" s="135"/>
      <c r="AJ49" s="225">
        <f>IF(AJ48&gt;G49,0,G49-AJ48)</f>
        <v>0</v>
      </c>
      <c r="AK49" s="226"/>
      <c r="AL49" s="225">
        <f>IF(AL48&gt;K49,0,K49-AL48)</f>
        <v>0</v>
      </c>
      <c r="AM49" s="226"/>
      <c r="AN49" s="225">
        <f>IF(AN48&gt;O49,0,O49-AN48)</f>
        <v>0</v>
      </c>
      <c r="AO49" s="226"/>
      <c r="AP49" s="225">
        <f>IF(AP48&gt;S49,0,S49-AP48)</f>
        <v>0</v>
      </c>
      <c r="AQ49" s="226"/>
    </row>
    <row r="50" spans="1:35" ht="13.5" thickBot="1">
      <c r="A50" s="187"/>
      <c r="B50" s="125" t="s">
        <v>58</v>
      </c>
      <c r="C50" s="126"/>
      <c r="D50" s="126"/>
      <c r="E50" s="126"/>
      <c r="F50" s="161"/>
      <c r="G50" s="156">
        <f>IF(G48&lt;G49,G49,G48)</f>
        <v>27.7</v>
      </c>
      <c r="H50" s="157"/>
      <c r="I50" s="157"/>
      <c r="J50" s="158"/>
      <c r="K50" s="160">
        <f>IF(K48&lt;K49,K49,K48)</f>
        <v>24.799999999999997</v>
      </c>
      <c r="L50" s="157"/>
      <c r="M50" s="157"/>
      <c r="N50" s="158"/>
      <c r="O50" s="156">
        <f>IF(O48&lt;O49,O49,O48)</f>
        <v>22</v>
      </c>
      <c r="P50" s="157"/>
      <c r="Q50" s="157"/>
      <c r="R50" s="158"/>
      <c r="S50" s="160">
        <f>IF(S48&lt;S49,S49,S48)</f>
        <v>17.799999999999997</v>
      </c>
      <c r="T50" s="157"/>
      <c r="U50" s="157"/>
      <c r="V50" s="158"/>
      <c r="W50" s="153">
        <f t="shared" si="3"/>
        <v>92.3</v>
      </c>
      <c r="X50" s="154"/>
      <c r="Y50" s="154"/>
      <c r="Z50" s="155"/>
      <c r="AA50" s="92" t="s">
        <v>57</v>
      </c>
      <c r="AB50" s="90"/>
      <c r="AC50" s="90"/>
      <c r="AD50" s="90"/>
      <c r="AE50" s="90"/>
      <c r="AF50" s="90"/>
      <c r="AG50" s="91">
        <f>-AG48+AG49-W57</f>
        <v>-27.368421052631575</v>
      </c>
      <c r="AH50" s="91"/>
      <c r="AI50" s="85"/>
    </row>
    <row r="51" spans="1:35" ht="12.75">
      <c r="A51" s="187"/>
      <c r="B51" s="125" t="s">
        <v>41</v>
      </c>
      <c r="C51" s="126"/>
      <c r="D51" s="126"/>
      <c r="E51" s="126"/>
      <c r="F51" s="161"/>
      <c r="G51" s="156">
        <v>20</v>
      </c>
      <c r="H51" s="157"/>
      <c r="I51" s="157"/>
      <c r="J51" s="158"/>
      <c r="K51" s="160">
        <v>20</v>
      </c>
      <c r="L51" s="157"/>
      <c r="M51" s="157"/>
      <c r="N51" s="158"/>
      <c r="O51" s="156">
        <v>20</v>
      </c>
      <c r="P51" s="157"/>
      <c r="Q51" s="157"/>
      <c r="R51" s="158"/>
      <c r="S51" s="160">
        <v>20</v>
      </c>
      <c r="T51" s="157"/>
      <c r="U51" s="157"/>
      <c r="V51" s="158"/>
      <c r="W51" s="153">
        <f t="shared" si="3"/>
        <v>80</v>
      </c>
      <c r="X51" s="154"/>
      <c r="Y51" s="154"/>
      <c r="Z51" s="155"/>
      <c r="AA51" s="86" t="s">
        <v>59</v>
      </c>
      <c r="AB51" s="87"/>
      <c r="AC51" s="87"/>
      <c r="AD51" s="87"/>
      <c r="AE51" s="87"/>
      <c r="AF51" s="87"/>
      <c r="AG51" s="88">
        <f>AG48+AG50</f>
        <v>0</v>
      </c>
      <c r="AH51" s="89"/>
      <c r="AI51" s="84"/>
    </row>
    <row r="52" spans="1:35" ht="12.75">
      <c r="A52" s="187"/>
      <c r="B52" s="125" t="s">
        <v>42</v>
      </c>
      <c r="C52" s="126"/>
      <c r="D52" s="126"/>
      <c r="E52" s="126"/>
      <c r="F52" s="161"/>
      <c r="G52" s="169">
        <v>20</v>
      </c>
      <c r="H52" s="167"/>
      <c r="I52" s="167"/>
      <c r="J52" s="168"/>
      <c r="K52" s="166">
        <v>20</v>
      </c>
      <c r="L52" s="167"/>
      <c r="M52" s="167"/>
      <c r="N52" s="168"/>
      <c r="O52" s="169">
        <v>20</v>
      </c>
      <c r="P52" s="167"/>
      <c r="Q52" s="167"/>
      <c r="R52" s="168"/>
      <c r="S52" s="166">
        <v>20</v>
      </c>
      <c r="T52" s="167"/>
      <c r="U52" s="167"/>
      <c r="V52" s="168"/>
      <c r="W52" s="153">
        <f t="shared" si="3"/>
        <v>80</v>
      </c>
      <c r="X52" s="154"/>
      <c r="Y52" s="154"/>
      <c r="Z52" s="159"/>
      <c r="AA52" s="102" t="s">
        <v>279</v>
      </c>
      <c r="AB52" s="103"/>
      <c r="AC52" s="103"/>
      <c r="AD52" s="103"/>
      <c r="AE52" s="103"/>
      <c r="AF52" s="103"/>
      <c r="AG52" s="95">
        <v>4</v>
      </c>
      <c r="AH52" s="95"/>
      <c r="AI52" s="95"/>
    </row>
    <row r="53" spans="1:35" ht="12.75">
      <c r="A53" s="187"/>
      <c r="B53" s="125" t="s">
        <v>43</v>
      </c>
      <c r="C53" s="126"/>
      <c r="D53" s="126"/>
      <c r="E53" s="126"/>
      <c r="F53" s="161"/>
      <c r="G53" s="165">
        <f>G51-G52</f>
        <v>0</v>
      </c>
      <c r="H53" s="163"/>
      <c r="I53" s="163"/>
      <c r="J53" s="164"/>
      <c r="K53" s="162">
        <f>K51-K52</f>
        <v>0</v>
      </c>
      <c r="L53" s="163"/>
      <c r="M53" s="163"/>
      <c r="N53" s="164"/>
      <c r="O53" s="165">
        <f>O51-O52</f>
        <v>0</v>
      </c>
      <c r="P53" s="163"/>
      <c r="Q53" s="163"/>
      <c r="R53" s="164"/>
      <c r="S53" s="162">
        <f>S51-S52</f>
        <v>0</v>
      </c>
      <c r="T53" s="163"/>
      <c r="U53" s="163"/>
      <c r="V53" s="164"/>
      <c r="W53" s="153">
        <f t="shared" si="3"/>
        <v>0</v>
      </c>
      <c r="X53" s="154"/>
      <c r="Y53" s="154"/>
      <c r="Z53" s="159"/>
      <c r="AA53" s="126">
        <f>W47*$L$2/100-AI58</f>
        <v>144.93157894736842</v>
      </c>
      <c r="AB53" s="126"/>
      <c r="AC53" s="126"/>
      <c r="AD53" s="126"/>
      <c r="AE53" s="126"/>
      <c r="AF53" s="126"/>
      <c r="AG53" s="133"/>
      <c r="AH53" s="133"/>
      <c r="AI53" s="133"/>
    </row>
    <row r="54" spans="1:38" ht="12.75">
      <c r="A54" s="187"/>
      <c r="B54" s="125" t="s">
        <v>30</v>
      </c>
      <c r="C54" s="126"/>
      <c r="D54" s="126"/>
      <c r="E54" s="126"/>
      <c r="F54" s="161"/>
      <c r="G54" s="156">
        <f>G47*$L$2/100-AA58</f>
        <v>40.37894736842105</v>
      </c>
      <c r="H54" s="157"/>
      <c r="I54" s="157"/>
      <c r="J54" s="158"/>
      <c r="K54" s="156">
        <f>K47*$L$2/100-AC58</f>
        <v>43.26315789473684</v>
      </c>
      <c r="L54" s="157"/>
      <c r="M54" s="157"/>
      <c r="N54" s="158"/>
      <c r="O54" s="156">
        <f>O47*$L$2/100-AE58</f>
        <v>36.05263157894737</v>
      </c>
      <c r="P54" s="157"/>
      <c r="Q54" s="157"/>
      <c r="R54" s="158"/>
      <c r="S54" s="156">
        <f>S47*$L$2/100-AG58</f>
        <v>25.236842105263158</v>
      </c>
      <c r="T54" s="157"/>
      <c r="U54" s="157"/>
      <c r="V54" s="158"/>
      <c r="W54" s="153">
        <f t="shared" si="3"/>
        <v>144.93157894736842</v>
      </c>
      <c r="X54" s="154"/>
      <c r="Y54" s="154"/>
      <c r="Z54" s="159"/>
      <c r="AA54" s="101">
        <f>IF(G47&lt;G46,$T$5*(G47-G46)*$L$3/100,$T$5*G47/100)</f>
        <v>1.12</v>
      </c>
      <c r="AB54" s="101"/>
      <c r="AC54" s="101">
        <f>IF(K47&lt;K46,$T$5*(K47-K46)*$L$3/100,$T$5*K47/100)</f>
        <v>1.2</v>
      </c>
      <c r="AD54" s="101"/>
      <c r="AE54" s="101">
        <f>IF(O47&lt;O46,$T$5*(O47-O46)*$L$3/100,$T$5*O47/100)</f>
        <v>1</v>
      </c>
      <c r="AF54" s="101"/>
      <c r="AG54" s="101">
        <f>IF(S47&lt;S46,$T$5*(S47-S46)*$L$3/100,$T$5*S47/100)</f>
        <v>0.7</v>
      </c>
      <c r="AH54" s="101"/>
      <c r="AI54" s="97">
        <f>SUM(AA54:AH54)</f>
        <v>4.0200000000000005</v>
      </c>
      <c r="AJ54" s="98"/>
      <c r="AK54" s="98"/>
      <c r="AL54" s="2" t="s">
        <v>277</v>
      </c>
    </row>
    <row r="55" spans="1:38" ht="12.75">
      <c r="A55" s="187"/>
      <c r="B55" s="125" t="s">
        <v>283</v>
      </c>
      <c r="C55" s="126"/>
      <c r="D55" s="126"/>
      <c r="E55" s="126"/>
      <c r="F55" s="161"/>
      <c r="G55" s="156">
        <f>G54-G51-G50+$AI57</f>
        <v>-7.321052631578947</v>
      </c>
      <c r="H55" s="157"/>
      <c r="I55" s="157"/>
      <c r="J55" s="158"/>
      <c r="K55" s="156">
        <f>K54-K51-K50+$AI57</f>
        <v>-1.5368421052631547</v>
      </c>
      <c r="L55" s="157"/>
      <c r="M55" s="157"/>
      <c r="N55" s="158"/>
      <c r="O55" s="156">
        <f>O54-O51-O50+$AI57</f>
        <v>-5.94736842105263</v>
      </c>
      <c r="P55" s="157"/>
      <c r="Q55" s="157"/>
      <c r="R55" s="158"/>
      <c r="S55" s="156">
        <f>S54-S51-S50+$AI57</f>
        <v>-12.56315789473684</v>
      </c>
      <c r="T55" s="157"/>
      <c r="U55" s="157"/>
      <c r="V55" s="158"/>
      <c r="W55" s="153">
        <f t="shared" si="3"/>
        <v>-27.36842105263157</v>
      </c>
      <c r="X55" s="154"/>
      <c r="Y55" s="154"/>
      <c r="Z55" s="159"/>
      <c r="AA55" s="101">
        <f>IF(G47&lt;G46,0,$T$3*G47/100)</f>
        <v>0</v>
      </c>
      <c r="AB55" s="101"/>
      <c r="AC55" s="101">
        <f>IF(K47&lt;K46,0,$T$3*K47/100)</f>
        <v>0</v>
      </c>
      <c r="AD55" s="101"/>
      <c r="AE55" s="101">
        <f>IF(O47&lt;O46,0,$T$3*O47/100)</f>
        <v>0</v>
      </c>
      <c r="AF55" s="101"/>
      <c r="AG55" s="101">
        <f>IF(S47&lt;S46,0,$T$3*S47/100)</f>
        <v>0</v>
      </c>
      <c r="AH55" s="101"/>
      <c r="AI55" s="97">
        <f>SUM(AA55:AH55)</f>
        <v>0</v>
      </c>
      <c r="AJ55" s="98"/>
      <c r="AK55" s="98"/>
      <c r="AL55" s="2" t="s">
        <v>248</v>
      </c>
    </row>
    <row r="56" spans="1:38" ht="12.75">
      <c r="A56" s="187"/>
      <c r="B56" s="125" t="s">
        <v>45</v>
      </c>
      <c r="C56" s="126"/>
      <c r="D56" s="126"/>
      <c r="E56" s="126"/>
      <c r="F56" s="161"/>
      <c r="G56" s="156">
        <f>G55+G53</f>
        <v>-7.321052631578947</v>
      </c>
      <c r="H56" s="157"/>
      <c r="I56" s="157"/>
      <c r="J56" s="158"/>
      <c r="K56" s="160">
        <f>K55+K53</f>
        <v>-1.5368421052631547</v>
      </c>
      <c r="L56" s="157"/>
      <c r="M56" s="157"/>
      <c r="N56" s="158"/>
      <c r="O56" s="156">
        <f>O55+O53</f>
        <v>-5.94736842105263</v>
      </c>
      <c r="P56" s="157"/>
      <c r="Q56" s="157"/>
      <c r="R56" s="158"/>
      <c r="S56" s="160">
        <f>S55+S53</f>
        <v>-12.56315789473684</v>
      </c>
      <c r="T56" s="157"/>
      <c r="U56" s="157"/>
      <c r="V56" s="158"/>
      <c r="W56" s="153">
        <f t="shared" si="3"/>
        <v>-27.36842105263157</v>
      </c>
      <c r="X56" s="154"/>
      <c r="Y56" s="154"/>
      <c r="Z56" s="155"/>
      <c r="AA56" s="101">
        <f>IF(G47&lt;G46,0,$T$4*G47/100)</f>
        <v>0</v>
      </c>
      <c r="AB56" s="101"/>
      <c r="AC56" s="101">
        <f>IF(K47&lt;K46,0,$T$4*K47/100)</f>
        <v>0</v>
      </c>
      <c r="AD56" s="101"/>
      <c r="AE56" s="101">
        <f>IF(O47&lt;O46,0,$T$4*O47/100)</f>
        <v>0</v>
      </c>
      <c r="AF56" s="101"/>
      <c r="AG56" s="101">
        <f>IF(S47&lt;S46,0,$T$4*S47/100)</f>
        <v>0</v>
      </c>
      <c r="AH56" s="101"/>
      <c r="AI56" s="97">
        <f>SUM(AA56:AH56)</f>
        <v>0</v>
      </c>
      <c r="AJ56" s="98"/>
      <c r="AK56" s="98"/>
      <c r="AL56" s="2" t="s">
        <v>281</v>
      </c>
    </row>
    <row r="57" spans="1:38" ht="12.75">
      <c r="A57" s="187"/>
      <c r="B57" s="194" t="s">
        <v>26</v>
      </c>
      <c r="C57" s="98"/>
      <c r="D57" s="98"/>
      <c r="E57" s="98"/>
      <c r="F57" s="195"/>
      <c r="G57" s="196">
        <f>$AG49/100*$AL$3</f>
        <v>0</v>
      </c>
      <c r="H57" s="197"/>
      <c r="I57" s="197"/>
      <c r="J57" s="198"/>
      <c r="K57" s="137">
        <f>$AG49/100*$AL$4</f>
        <v>0</v>
      </c>
      <c r="L57" s="138"/>
      <c r="M57" s="138"/>
      <c r="N57" s="139"/>
      <c r="O57" s="137">
        <f>$AG49/100*$AL$4</f>
        <v>0</v>
      </c>
      <c r="P57" s="138"/>
      <c r="Q57" s="138"/>
      <c r="R57" s="139"/>
      <c r="S57" s="137">
        <f>$AG49/100*$AL$4</f>
        <v>0</v>
      </c>
      <c r="T57" s="138"/>
      <c r="U57" s="138"/>
      <c r="V57" s="139"/>
      <c r="W57" s="153">
        <f t="shared" si="3"/>
        <v>0</v>
      </c>
      <c r="X57" s="154"/>
      <c r="Y57" s="154"/>
      <c r="Z57" s="155"/>
      <c r="AI57" s="224">
        <f>'ЦФУ Продажи'!P$59</f>
        <v>0</v>
      </c>
      <c r="AJ57" s="224"/>
      <c r="AK57" s="224"/>
      <c r="AL57" s="2" t="s">
        <v>280</v>
      </c>
    </row>
    <row r="58" spans="1:38" ht="13.5" thickBot="1">
      <c r="A58" s="187"/>
      <c r="B58" s="191" t="s">
        <v>28</v>
      </c>
      <c r="C58" s="192"/>
      <c r="D58" s="192"/>
      <c r="E58" s="192"/>
      <c r="F58" s="193"/>
      <c r="G58" s="149">
        <f>IF(G57&lt;0,G50,G50+G57)</f>
        <v>27.7</v>
      </c>
      <c r="H58" s="147"/>
      <c r="I58" s="147"/>
      <c r="J58" s="148"/>
      <c r="K58" s="146">
        <f>IF(K57&lt;0,K50,K50+K57)</f>
        <v>24.799999999999997</v>
      </c>
      <c r="L58" s="147"/>
      <c r="M58" s="147"/>
      <c r="N58" s="148"/>
      <c r="O58" s="149">
        <f>IF(O57&lt;0,O50,O50+O57)</f>
        <v>22</v>
      </c>
      <c r="P58" s="147"/>
      <c r="Q58" s="147"/>
      <c r="R58" s="148"/>
      <c r="S58" s="146">
        <f>IF(S57&lt;0,S50,S50+S57)</f>
        <v>17.799999999999997</v>
      </c>
      <c r="T58" s="147"/>
      <c r="U58" s="147"/>
      <c r="V58" s="148"/>
      <c r="W58" s="150">
        <f t="shared" si="3"/>
        <v>92.3</v>
      </c>
      <c r="X58" s="151"/>
      <c r="Y58" s="151"/>
      <c r="Z58" s="152"/>
      <c r="AA58" s="101">
        <f>IF($AI54&gt;0,IF(AA54&gt;=0,0,G47*($T$2+$T$3+$T$5)/100-AA54),IF(G47&lt;G46,G47*($T$2+$T$3+$T$5)/100,AA54))</f>
        <v>0</v>
      </c>
      <c r="AB58" s="101"/>
      <c r="AC58" s="101">
        <f>IF($AI54&gt;0,IF(AC54&gt;=0,0,K47*($T$2+$T$3+$T$4+$T$5)/100-AC54),IF(K47&lt;K46,K47*($T$2+$T$3+$T$4+$T$5)/100,AC54))</f>
        <v>0</v>
      </c>
      <c r="AD58" s="101"/>
      <c r="AE58" s="101">
        <f>IF($AI54&gt;0,IF(AE54&gt;=0,0,O47*($T$2+$T$3+$T$4+$T$5)/100-AE54),IF(O47&lt;O46,O47*($T$2+$T$3+$T$4+$T$5)/100,AE54))</f>
        <v>0</v>
      </c>
      <c r="AF58" s="101"/>
      <c r="AG58" s="101">
        <f>IF($AI54&gt;0,IF(AG54&gt;=0,0,S47*($T$2+$T$3+$T$4+$T$5)/100-AG54),IF(S47&lt;S46,S47*($T$2+$T$3+$T$4+$T$5)/100,AG54))</f>
        <v>0</v>
      </c>
      <c r="AH58" s="101"/>
      <c r="AI58" s="97">
        <f>SUM(AA58:AH58)</f>
        <v>0</v>
      </c>
      <c r="AJ58" s="98"/>
      <c r="AK58" s="98"/>
      <c r="AL58" s="2" t="s">
        <v>218</v>
      </c>
    </row>
    <row r="59" spans="1:35" ht="12.75" customHeight="1">
      <c r="A59" s="188" t="s">
        <v>65</v>
      </c>
      <c r="B59" s="93" t="s">
        <v>23</v>
      </c>
      <c r="C59" s="94"/>
      <c r="D59" s="94"/>
      <c r="E59" s="94"/>
      <c r="F59" s="199"/>
      <c r="G59" s="185">
        <v>1120</v>
      </c>
      <c r="H59" s="183"/>
      <c r="I59" s="183"/>
      <c r="J59" s="184"/>
      <c r="K59" s="182">
        <v>1400</v>
      </c>
      <c r="L59" s="183"/>
      <c r="M59" s="183"/>
      <c r="N59" s="184"/>
      <c r="O59" s="185">
        <v>1200</v>
      </c>
      <c r="P59" s="183"/>
      <c r="Q59" s="183"/>
      <c r="R59" s="184"/>
      <c r="S59" s="182">
        <v>1000</v>
      </c>
      <c r="T59" s="183"/>
      <c r="U59" s="183"/>
      <c r="V59" s="184"/>
      <c r="W59" s="170">
        <f t="shared" si="3"/>
        <v>4720</v>
      </c>
      <c r="X59" s="171"/>
      <c r="Y59" s="171"/>
      <c r="Z59" s="172"/>
      <c r="AA59" s="93" t="s">
        <v>53</v>
      </c>
      <c r="AB59" s="94"/>
      <c r="AC59" s="94"/>
      <c r="AD59" s="94"/>
      <c r="AE59" s="94"/>
      <c r="AF59" s="94"/>
      <c r="AG59" s="173">
        <f>(W64+$N$2*AG65)/W59*100+$Q$2+$T$2+$T$3+$T$5</f>
        <v>3.8728813559322033</v>
      </c>
      <c r="AH59" s="174"/>
      <c r="AI59" s="175"/>
    </row>
    <row r="60" spans="1:36" ht="12.75">
      <c r="A60" s="187"/>
      <c r="B60" s="125" t="s">
        <v>24</v>
      </c>
      <c r="C60" s="126"/>
      <c r="D60" s="126"/>
      <c r="E60" s="126"/>
      <c r="F60" s="161"/>
      <c r="G60" s="169">
        <v>1120</v>
      </c>
      <c r="H60" s="167"/>
      <c r="I60" s="167"/>
      <c r="J60" s="168"/>
      <c r="K60" s="166">
        <v>1400</v>
      </c>
      <c r="L60" s="167"/>
      <c r="M60" s="167"/>
      <c r="N60" s="168"/>
      <c r="O60" s="169">
        <v>1200</v>
      </c>
      <c r="P60" s="167"/>
      <c r="Q60" s="167"/>
      <c r="R60" s="168"/>
      <c r="S60" s="166">
        <v>1000</v>
      </c>
      <c r="T60" s="167"/>
      <c r="U60" s="167"/>
      <c r="V60" s="168"/>
      <c r="W60" s="153">
        <f t="shared" si="3"/>
        <v>4720</v>
      </c>
      <c r="X60" s="154"/>
      <c r="Y60" s="154"/>
      <c r="Z60" s="155"/>
      <c r="AA60" s="125" t="s">
        <v>54</v>
      </c>
      <c r="AB60" s="126"/>
      <c r="AC60" s="126"/>
      <c r="AD60" s="126"/>
      <c r="AE60" s="126"/>
      <c r="AF60" s="126"/>
      <c r="AG60" s="180">
        <f>(AG59-$L$2)*W59/100</f>
        <v>12.631578947368421</v>
      </c>
      <c r="AH60" s="180"/>
      <c r="AI60" s="181"/>
      <c r="AJ60" s="2" t="s">
        <v>284</v>
      </c>
    </row>
    <row r="61" spans="1:43" ht="12.75">
      <c r="A61" s="187"/>
      <c r="B61" s="125" t="s">
        <v>29</v>
      </c>
      <c r="C61" s="126"/>
      <c r="D61" s="126"/>
      <c r="E61" s="126"/>
      <c r="F61" s="161"/>
      <c r="G61" s="156">
        <f>IF(G59&lt;=G60,$N$2+G60/100*($Q$2+$T$2)+$AI68/$AG65+$AI70+IF(AI67&gt;0,AI67,0),$N$2+G60/100*$Q$2+$AI68/$AG65+$AI70+IF(AI67&gt;0,AI67,0))</f>
        <v>28.4</v>
      </c>
      <c r="H61" s="157"/>
      <c r="I61" s="157"/>
      <c r="J61" s="158"/>
      <c r="K61" s="156">
        <f>IF(K59&lt;=K60,$N$2+K60/100*($Q$2+$T$2)+$AI68/$AG65+$AI70,$N$2+K60/100*$Q$2+$AI68/$AG65+$AI70)</f>
        <v>27.599999999999998</v>
      </c>
      <c r="L61" s="157"/>
      <c r="M61" s="157"/>
      <c r="N61" s="158"/>
      <c r="O61" s="156">
        <f>IF(O59&lt;=O60,$N$2+O60/100*($Q$2+$T$2)+$AI68/$AG65+$AI70,$N$2+O60/100*$Q$2+$AI68/$AG65+$AI70)</f>
        <v>24.799999999999997</v>
      </c>
      <c r="P61" s="157"/>
      <c r="Q61" s="157"/>
      <c r="R61" s="158"/>
      <c r="S61" s="156">
        <f>IF(S59&lt;=S60,$N$2+S60/100*($Q$2+$T$2)+$AI68/$AG65+$AI70,$N$2+S60/100*$Q$2+$AI68/$AG65+$AI70)</f>
        <v>22</v>
      </c>
      <c r="T61" s="157"/>
      <c r="U61" s="157"/>
      <c r="V61" s="158"/>
      <c r="W61" s="153">
        <f t="shared" si="3"/>
        <v>102.8</v>
      </c>
      <c r="X61" s="154"/>
      <c r="Y61" s="154"/>
      <c r="Z61" s="155"/>
      <c r="AA61" s="125" t="s">
        <v>55</v>
      </c>
      <c r="AB61" s="126"/>
      <c r="AC61" s="126"/>
      <c r="AD61" s="126"/>
      <c r="AE61" s="126"/>
      <c r="AF61" s="126"/>
      <c r="AG61" s="122">
        <f>SUM(AJ62:AQ62)+AG60</f>
        <v>12.631578947368421</v>
      </c>
      <c r="AH61" s="123"/>
      <c r="AI61" s="124"/>
      <c r="AJ61" s="225">
        <f>$N$2+G59*($Q$2+$T$2+$T$3/$AG65)/100+$T$5*$W59/100</f>
        <v>28.4</v>
      </c>
      <c r="AK61" s="226"/>
      <c r="AL61" s="225">
        <f>$N$2+K59*($Q$2+$T$2+$T$3/$AG65)/100</f>
        <v>27.599999999999998</v>
      </c>
      <c r="AM61" s="226"/>
      <c r="AN61" s="225">
        <f>$N$2+O59*($Q$2+$T$2+$T$3/$AG65)/100</f>
        <v>24.8</v>
      </c>
      <c r="AO61" s="226"/>
      <c r="AP61" s="225">
        <f>$N$2+S59*($Q$2+$T$2+$T$3/$AG65)/100</f>
        <v>22</v>
      </c>
      <c r="AQ61" s="226"/>
    </row>
    <row r="62" spans="1:43" ht="12.75">
      <c r="A62" s="187"/>
      <c r="B62" s="125" t="s">
        <v>10</v>
      </c>
      <c r="C62" s="126"/>
      <c r="D62" s="126"/>
      <c r="E62" s="126"/>
      <c r="F62" s="161"/>
      <c r="G62" s="169">
        <v>20</v>
      </c>
      <c r="H62" s="167"/>
      <c r="I62" s="167"/>
      <c r="J62" s="168"/>
      <c r="K62" s="166">
        <v>15</v>
      </c>
      <c r="L62" s="167"/>
      <c r="M62" s="167"/>
      <c r="N62" s="168"/>
      <c r="O62" s="169">
        <v>10</v>
      </c>
      <c r="P62" s="167"/>
      <c r="Q62" s="167"/>
      <c r="R62" s="168"/>
      <c r="S62" s="166">
        <v>8</v>
      </c>
      <c r="T62" s="167"/>
      <c r="U62" s="167"/>
      <c r="V62" s="168"/>
      <c r="W62" s="153">
        <f t="shared" si="3"/>
        <v>53</v>
      </c>
      <c r="X62" s="154"/>
      <c r="Y62" s="154"/>
      <c r="Z62" s="155"/>
      <c r="AA62" s="125" t="s">
        <v>56</v>
      </c>
      <c r="AB62" s="126"/>
      <c r="AC62" s="126"/>
      <c r="AD62" s="126"/>
      <c r="AE62" s="126"/>
      <c r="AF62" s="126"/>
      <c r="AG62" s="134">
        <f>W69+AG61</f>
        <v>0</v>
      </c>
      <c r="AH62" s="134"/>
      <c r="AI62" s="135"/>
      <c r="AJ62" s="225">
        <f>IF(AJ61&gt;G62,0,G62-AJ61)</f>
        <v>0</v>
      </c>
      <c r="AK62" s="226"/>
      <c r="AL62" s="225">
        <f>IF(AL61&gt;K62,0,K62-AL61)</f>
        <v>0</v>
      </c>
      <c r="AM62" s="226"/>
      <c r="AN62" s="225">
        <f>IF(AN61&gt;O62,0,O62-AN61)</f>
        <v>0</v>
      </c>
      <c r="AO62" s="226"/>
      <c r="AP62" s="225">
        <f>IF(AP61&gt;S62,0,S62-AP61)</f>
        <v>0</v>
      </c>
      <c r="AQ62" s="226"/>
    </row>
    <row r="63" spans="1:35" ht="13.5" thickBot="1">
      <c r="A63" s="187"/>
      <c r="B63" s="125" t="s">
        <v>58</v>
      </c>
      <c r="C63" s="126"/>
      <c r="D63" s="126"/>
      <c r="E63" s="126"/>
      <c r="F63" s="161"/>
      <c r="G63" s="156">
        <f>IF(G61&lt;G62,G62,G61)</f>
        <v>28.4</v>
      </c>
      <c r="H63" s="157"/>
      <c r="I63" s="157"/>
      <c r="J63" s="158"/>
      <c r="K63" s="160">
        <f>IF(K61&lt;K62,K62,K61)</f>
        <v>27.599999999999998</v>
      </c>
      <c r="L63" s="157"/>
      <c r="M63" s="157"/>
      <c r="N63" s="158"/>
      <c r="O63" s="156">
        <f>IF(O61&lt;O62,O62,O61)</f>
        <v>24.799999999999997</v>
      </c>
      <c r="P63" s="157"/>
      <c r="Q63" s="157"/>
      <c r="R63" s="158"/>
      <c r="S63" s="160">
        <f>IF(S61&lt;S62,S62,S61)</f>
        <v>22</v>
      </c>
      <c r="T63" s="157"/>
      <c r="U63" s="157"/>
      <c r="V63" s="158"/>
      <c r="W63" s="153">
        <f t="shared" si="3"/>
        <v>102.8</v>
      </c>
      <c r="X63" s="154"/>
      <c r="Y63" s="154"/>
      <c r="Z63" s="155"/>
      <c r="AA63" s="92" t="s">
        <v>57</v>
      </c>
      <c r="AB63" s="90"/>
      <c r="AC63" s="90"/>
      <c r="AD63" s="90"/>
      <c r="AE63" s="90"/>
      <c r="AF63" s="90"/>
      <c r="AG63" s="91">
        <f>-AG61+AG62-W70</f>
        <v>-12.631578947368421</v>
      </c>
      <c r="AH63" s="91"/>
      <c r="AI63" s="85"/>
    </row>
    <row r="64" spans="1:35" ht="12.75">
      <c r="A64" s="187"/>
      <c r="B64" s="125" t="s">
        <v>41</v>
      </c>
      <c r="C64" s="126"/>
      <c r="D64" s="126"/>
      <c r="E64" s="126"/>
      <c r="F64" s="161"/>
      <c r="G64" s="156">
        <v>20</v>
      </c>
      <c r="H64" s="157"/>
      <c r="I64" s="157"/>
      <c r="J64" s="158"/>
      <c r="K64" s="160">
        <v>20</v>
      </c>
      <c r="L64" s="157"/>
      <c r="M64" s="157"/>
      <c r="N64" s="158"/>
      <c r="O64" s="156">
        <v>20</v>
      </c>
      <c r="P64" s="157"/>
      <c r="Q64" s="157"/>
      <c r="R64" s="158"/>
      <c r="S64" s="160">
        <v>20</v>
      </c>
      <c r="T64" s="157"/>
      <c r="U64" s="157"/>
      <c r="V64" s="158"/>
      <c r="W64" s="153">
        <f t="shared" si="3"/>
        <v>80</v>
      </c>
      <c r="X64" s="154"/>
      <c r="Y64" s="154"/>
      <c r="Z64" s="155"/>
      <c r="AA64" s="86" t="s">
        <v>59</v>
      </c>
      <c r="AB64" s="87"/>
      <c r="AC64" s="87"/>
      <c r="AD64" s="87"/>
      <c r="AE64" s="87"/>
      <c r="AF64" s="87"/>
      <c r="AG64" s="88">
        <f>AG61+AG63</f>
        <v>0</v>
      </c>
      <c r="AH64" s="89"/>
      <c r="AI64" s="84"/>
    </row>
    <row r="65" spans="1:35" ht="12.75">
      <c r="A65" s="187"/>
      <c r="B65" s="125" t="s">
        <v>42</v>
      </c>
      <c r="C65" s="126"/>
      <c r="D65" s="126"/>
      <c r="E65" s="126"/>
      <c r="F65" s="161"/>
      <c r="G65" s="169">
        <v>20</v>
      </c>
      <c r="H65" s="167"/>
      <c r="I65" s="167"/>
      <c r="J65" s="168"/>
      <c r="K65" s="166">
        <v>20</v>
      </c>
      <c r="L65" s="167"/>
      <c r="M65" s="167"/>
      <c r="N65" s="168"/>
      <c r="O65" s="169">
        <v>20</v>
      </c>
      <c r="P65" s="167"/>
      <c r="Q65" s="167"/>
      <c r="R65" s="168"/>
      <c r="S65" s="166">
        <v>20</v>
      </c>
      <c r="T65" s="167"/>
      <c r="U65" s="167"/>
      <c r="V65" s="168"/>
      <c r="W65" s="153">
        <f t="shared" si="3"/>
        <v>80</v>
      </c>
      <c r="X65" s="154"/>
      <c r="Y65" s="154"/>
      <c r="Z65" s="159"/>
      <c r="AA65" s="102" t="s">
        <v>279</v>
      </c>
      <c r="AB65" s="103"/>
      <c r="AC65" s="103"/>
      <c r="AD65" s="103"/>
      <c r="AE65" s="103"/>
      <c r="AF65" s="103"/>
      <c r="AG65" s="95">
        <v>4</v>
      </c>
      <c r="AH65" s="95"/>
      <c r="AI65" s="95"/>
    </row>
    <row r="66" spans="1:35" ht="12.75">
      <c r="A66" s="187"/>
      <c r="B66" s="125" t="s">
        <v>43</v>
      </c>
      <c r="C66" s="126"/>
      <c r="D66" s="126"/>
      <c r="E66" s="126"/>
      <c r="F66" s="161"/>
      <c r="G66" s="165">
        <f>G64-G65</f>
        <v>0</v>
      </c>
      <c r="H66" s="163"/>
      <c r="I66" s="163"/>
      <c r="J66" s="164"/>
      <c r="K66" s="162">
        <f>K64-K65</f>
        <v>0</v>
      </c>
      <c r="L66" s="163"/>
      <c r="M66" s="163"/>
      <c r="N66" s="164"/>
      <c r="O66" s="165">
        <f>O64-O65</f>
        <v>0</v>
      </c>
      <c r="P66" s="163"/>
      <c r="Q66" s="163"/>
      <c r="R66" s="164"/>
      <c r="S66" s="162">
        <f>S64-S65</f>
        <v>0</v>
      </c>
      <c r="T66" s="163"/>
      <c r="U66" s="163"/>
      <c r="V66" s="164"/>
      <c r="W66" s="153">
        <f t="shared" si="3"/>
        <v>0</v>
      </c>
      <c r="X66" s="154"/>
      <c r="Y66" s="154"/>
      <c r="Z66" s="159"/>
      <c r="AA66" s="126">
        <f>W60*$L$2/100-AI71</f>
        <v>170.16842105263157</v>
      </c>
      <c r="AB66" s="126"/>
      <c r="AC66" s="126"/>
      <c r="AD66" s="126"/>
      <c r="AE66" s="126"/>
      <c r="AF66" s="126"/>
      <c r="AG66" s="133"/>
      <c r="AH66" s="133"/>
      <c r="AI66" s="133"/>
    </row>
    <row r="67" spans="1:38" ht="12.75">
      <c r="A67" s="187"/>
      <c r="B67" s="125" t="s">
        <v>30</v>
      </c>
      <c r="C67" s="126"/>
      <c r="D67" s="126"/>
      <c r="E67" s="126"/>
      <c r="F67" s="161"/>
      <c r="G67" s="156">
        <f>G60*$L$2/100-AA71</f>
        <v>40.37894736842105</v>
      </c>
      <c r="H67" s="157"/>
      <c r="I67" s="157"/>
      <c r="J67" s="158"/>
      <c r="K67" s="156">
        <f>K60*$L$2/100-AC71</f>
        <v>50.473684210526315</v>
      </c>
      <c r="L67" s="157"/>
      <c r="M67" s="157"/>
      <c r="N67" s="158"/>
      <c r="O67" s="156">
        <f>O60*$L$2/100-AE71</f>
        <v>43.26315789473684</v>
      </c>
      <c r="P67" s="157"/>
      <c r="Q67" s="157"/>
      <c r="R67" s="158"/>
      <c r="S67" s="156">
        <f>S60*$L$2/100-AG71</f>
        <v>36.05263157894737</v>
      </c>
      <c r="T67" s="157"/>
      <c r="U67" s="157"/>
      <c r="V67" s="158"/>
      <c r="W67" s="153">
        <f t="shared" si="3"/>
        <v>170.16842105263157</v>
      </c>
      <c r="X67" s="154"/>
      <c r="Y67" s="154"/>
      <c r="Z67" s="159"/>
      <c r="AA67" s="101">
        <f>IF(G60&lt;G59,$T$5*(G60-G59)*$L$3/100,$T$5*G60/100)</f>
        <v>1.12</v>
      </c>
      <c r="AB67" s="101"/>
      <c r="AC67" s="101">
        <f>IF(K60&lt;K59,$T$5*(K60-K59)*$L$3/100,$T$5*K60/100)</f>
        <v>1.4</v>
      </c>
      <c r="AD67" s="101"/>
      <c r="AE67" s="101">
        <f>IF(O60&lt;O59,$T$5*(O60-O59)*$L$3/100,$T$5*O60/100)</f>
        <v>1.2</v>
      </c>
      <c r="AF67" s="101"/>
      <c r="AG67" s="101">
        <f>IF(S60&lt;S59,$T$5*(S60-S59)*$L$3/100,$T$5*S60/100)</f>
        <v>1</v>
      </c>
      <c r="AH67" s="101"/>
      <c r="AI67" s="97">
        <f>SUM(AA67:AH67)</f>
        <v>4.72</v>
      </c>
      <c r="AJ67" s="98"/>
      <c r="AK67" s="98"/>
      <c r="AL67" s="2" t="s">
        <v>277</v>
      </c>
    </row>
    <row r="68" spans="1:38" ht="12.75">
      <c r="A68" s="187"/>
      <c r="B68" s="125" t="s">
        <v>283</v>
      </c>
      <c r="C68" s="126"/>
      <c r="D68" s="126"/>
      <c r="E68" s="126"/>
      <c r="F68" s="161"/>
      <c r="G68" s="156">
        <f>G67-G64-G63+$AI70</f>
        <v>-8.021052631578947</v>
      </c>
      <c r="H68" s="157"/>
      <c r="I68" s="157"/>
      <c r="J68" s="158"/>
      <c r="K68" s="156">
        <f>K67-K64-K63+$AI70</f>
        <v>2.873684210526317</v>
      </c>
      <c r="L68" s="157"/>
      <c r="M68" s="157"/>
      <c r="N68" s="158"/>
      <c r="O68" s="156">
        <f>O67-O64-O63+$AI70</f>
        <v>-1.5368421052631547</v>
      </c>
      <c r="P68" s="157"/>
      <c r="Q68" s="157"/>
      <c r="R68" s="158"/>
      <c r="S68" s="156">
        <f>S67-S64-S63+$AI70</f>
        <v>-5.94736842105263</v>
      </c>
      <c r="T68" s="157"/>
      <c r="U68" s="157"/>
      <c r="V68" s="158"/>
      <c r="W68" s="153">
        <f t="shared" si="3"/>
        <v>-12.631578947368414</v>
      </c>
      <c r="X68" s="154"/>
      <c r="Y68" s="154"/>
      <c r="Z68" s="159"/>
      <c r="AA68" s="101">
        <f>IF(G60&lt;G59,0,$T$3*G60/100)</f>
        <v>0</v>
      </c>
      <c r="AB68" s="101"/>
      <c r="AC68" s="101">
        <f>IF(K60&lt;K59,0,$T$3*K60/100)</f>
        <v>0</v>
      </c>
      <c r="AD68" s="101"/>
      <c r="AE68" s="101">
        <f>IF(O60&lt;O59,0,$T$3*O60/100)</f>
        <v>0</v>
      </c>
      <c r="AF68" s="101"/>
      <c r="AG68" s="101">
        <f>IF(S60&lt;S59,0,$T$3*S60/100)</f>
        <v>0</v>
      </c>
      <c r="AH68" s="101"/>
      <c r="AI68" s="97">
        <f>SUM(AA68:AH68)</f>
        <v>0</v>
      </c>
      <c r="AJ68" s="98"/>
      <c r="AK68" s="98"/>
      <c r="AL68" s="2" t="s">
        <v>248</v>
      </c>
    </row>
    <row r="69" spans="1:38" ht="12.75">
      <c r="A69" s="187"/>
      <c r="B69" s="125" t="s">
        <v>45</v>
      </c>
      <c r="C69" s="126"/>
      <c r="D69" s="126"/>
      <c r="E69" s="126"/>
      <c r="F69" s="161"/>
      <c r="G69" s="156">
        <f>G68+G66</f>
        <v>-8.021052631578947</v>
      </c>
      <c r="H69" s="157"/>
      <c r="I69" s="157"/>
      <c r="J69" s="158"/>
      <c r="K69" s="160">
        <f>K68+K66</f>
        <v>2.873684210526317</v>
      </c>
      <c r="L69" s="157"/>
      <c r="M69" s="157"/>
      <c r="N69" s="158"/>
      <c r="O69" s="156">
        <f>O68+O66</f>
        <v>-1.5368421052631547</v>
      </c>
      <c r="P69" s="157"/>
      <c r="Q69" s="157"/>
      <c r="R69" s="158"/>
      <c r="S69" s="160">
        <f>S68+S66</f>
        <v>-5.94736842105263</v>
      </c>
      <c r="T69" s="157"/>
      <c r="U69" s="157"/>
      <c r="V69" s="158"/>
      <c r="W69" s="153">
        <f t="shared" si="3"/>
        <v>-12.631578947368414</v>
      </c>
      <c r="X69" s="154"/>
      <c r="Y69" s="154"/>
      <c r="Z69" s="155"/>
      <c r="AA69" s="101">
        <f>IF(G60&lt;G59,0,$T$4*G60/100)</f>
        <v>0</v>
      </c>
      <c r="AB69" s="101"/>
      <c r="AC69" s="101">
        <f>IF(K60&lt;K59,0,$T$4*K60/100)</f>
        <v>0</v>
      </c>
      <c r="AD69" s="101"/>
      <c r="AE69" s="101">
        <f>IF(O60&lt;O59,0,$T$4*O60/100)</f>
        <v>0</v>
      </c>
      <c r="AF69" s="101"/>
      <c r="AG69" s="101">
        <f>IF(S60&lt;S59,0,$T$4*S60/100)</f>
        <v>0</v>
      </c>
      <c r="AH69" s="101"/>
      <c r="AI69" s="97">
        <f>SUM(AA69:AH69)</f>
        <v>0</v>
      </c>
      <c r="AJ69" s="98"/>
      <c r="AK69" s="98"/>
      <c r="AL69" s="2" t="s">
        <v>281</v>
      </c>
    </row>
    <row r="70" spans="1:38" ht="12.75">
      <c r="A70" s="187"/>
      <c r="B70" s="194" t="s">
        <v>26</v>
      </c>
      <c r="C70" s="98"/>
      <c r="D70" s="98"/>
      <c r="E70" s="98"/>
      <c r="F70" s="195"/>
      <c r="G70" s="196">
        <f>$AG62/100*$AL$3</f>
        <v>0</v>
      </c>
      <c r="H70" s="197"/>
      <c r="I70" s="197"/>
      <c r="J70" s="198"/>
      <c r="K70" s="137">
        <f>$AG62/100*$AL$4</f>
        <v>0</v>
      </c>
      <c r="L70" s="138"/>
      <c r="M70" s="138"/>
      <c r="N70" s="139"/>
      <c r="O70" s="137">
        <f>$AG62/100*$AL$4</f>
        <v>0</v>
      </c>
      <c r="P70" s="138"/>
      <c r="Q70" s="138"/>
      <c r="R70" s="139"/>
      <c r="S70" s="137">
        <f>$AG62/100*$AL$4</f>
        <v>0</v>
      </c>
      <c r="T70" s="138"/>
      <c r="U70" s="138"/>
      <c r="V70" s="139"/>
      <c r="W70" s="153">
        <f t="shared" si="3"/>
        <v>0</v>
      </c>
      <c r="X70" s="154"/>
      <c r="Y70" s="154"/>
      <c r="Z70" s="155"/>
      <c r="AI70" s="224">
        <f>'ЦФУ Продажи'!S$59</f>
        <v>0</v>
      </c>
      <c r="AJ70" s="224"/>
      <c r="AK70" s="224"/>
      <c r="AL70" s="2" t="s">
        <v>280</v>
      </c>
    </row>
    <row r="71" spans="1:38" ht="13.5" thickBot="1">
      <c r="A71" s="189"/>
      <c r="B71" s="191" t="s">
        <v>28</v>
      </c>
      <c r="C71" s="192"/>
      <c r="D71" s="192"/>
      <c r="E71" s="192"/>
      <c r="F71" s="193"/>
      <c r="G71" s="149">
        <f>IF(G70&lt;0,G63,G63+G70)</f>
        <v>28.4</v>
      </c>
      <c r="H71" s="147"/>
      <c r="I71" s="147"/>
      <c r="J71" s="148"/>
      <c r="K71" s="146">
        <f>IF(K70&lt;0,K63,K63+K70)</f>
        <v>27.599999999999998</v>
      </c>
      <c r="L71" s="147"/>
      <c r="M71" s="147"/>
      <c r="N71" s="148"/>
      <c r="O71" s="149">
        <f>IF(O70&lt;0,O63,O63+O70)</f>
        <v>24.799999999999997</v>
      </c>
      <c r="P71" s="147"/>
      <c r="Q71" s="147"/>
      <c r="R71" s="148"/>
      <c r="S71" s="146">
        <f>IF(S70&lt;0,S63,S63+S70)</f>
        <v>22</v>
      </c>
      <c r="T71" s="147"/>
      <c r="U71" s="147"/>
      <c r="V71" s="148"/>
      <c r="W71" s="150">
        <f t="shared" si="3"/>
        <v>102.8</v>
      </c>
      <c r="X71" s="151"/>
      <c r="Y71" s="151"/>
      <c r="Z71" s="152"/>
      <c r="AA71" s="101">
        <f>IF($AI67&gt;0,IF(AA67&gt;=0,0,G60*($T$2+$T$3+$T$5)/100-AA67),IF(G60&lt;G59,G60*($T$2+$T$3+$T$5)/100,AA67))</f>
        <v>0</v>
      </c>
      <c r="AB71" s="101"/>
      <c r="AC71" s="101">
        <f>IF($AI67&gt;0,IF(AC67&gt;=0,0,K60*($T$2+$T$3+$T$4+$T$5)/100-AC67),IF(K60&lt;K59,K60*($T$2+$T$3+$T$4+$T$5)/100,AC67))</f>
        <v>0</v>
      </c>
      <c r="AD71" s="101"/>
      <c r="AE71" s="101">
        <f>IF($AI67&gt;0,IF(AE67&gt;=0,0,O60*($T$2+$T$3+$T$4+$T$5)/100-AE67),IF(O60&lt;O59,O60*($T$2+$T$3+$T$4+$T$5)/100,AE67))</f>
        <v>0</v>
      </c>
      <c r="AF71" s="101"/>
      <c r="AG71" s="101">
        <f>IF($AI67&gt;0,IF(AG67&gt;=0,0,S60*($T$2+$T$3+$T$4+$T$5)/100-AG67),IF(S60&lt;S59,S60*($T$2+$T$3+$T$4+$T$5)/100,AG67))</f>
        <v>0</v>
      </c>
      <c r="AH71" s="101"/>
      <c r="AI71" s="97">
        <f>SUM(AA71:AH71)</f>
        <v>0</v>
      </c>
      <c r="AJ71" s="98"/>
      <c r="AK71" s="98"/>
      <c r="AL71" s="2" t="s">
        <v>218</v>
      </c>
    </row>
    <row r="72" spans="1:35" ht="12.75" customHeight="1">
      <c r="A72" s="140" t="s">
        <v>66</v>
      </c>
      <c r="B72" s="93" t="s">
        <v>23</v>
      </c>
      <c r="C72" s="94"/>
      <c r="D72" s="94"/>
      <c r="E72" s="94"/>
      <c r="F72" s="199"/>
      <c r="G72" s="185">
        <v>1120</v>
      </c>
      <c r="H72" s="183"/>
      <c r="I72" s="183"/>
      <c r="J72" s="184"/>
      <c r="K72" s="182">
        <v>1400</v>
      </c>
      <c r="L72" s="183"/>
      <c r="M72" s="183"/>
      <c r="N72" s="184"/>
      <c r="O72" s="185">
        <v>1400</v>
      </c>
      <c r="P72" s="183"/>
      <c r="Q72" s="183"/>
      <c r="R72" s="184"/>
      <c r="S72" s="182">
        <v>1200</v>
      </c>
      <c r="T72" s="183"/>
      <c r="U72" s="183"/>
      <c r="V72" s="184"/>
      <c r="W72" s="170">
        <f aca="true" t="shared" si="4" ref="W72:W110">G72+K72+O72+S72</f>
        <v>5120</v>
      </c>
      <c r="X72" s="171"/>
      <c r="Y72" s="171"/>
      <c r="Z72" s="172"/>
      <c r="AA72" s="93" t="s">
        <v>53</v>
      </c>
      <c r="AB72" s="94"/>
      <c r="AC72" s="94"/>
      <c r="AD72" s="94"/>
      <c r="AE72" s="94"/>
      <c r="AF72" s="94"/>
      <c r="AG72" s="173">
        <f>(W77+$N$2*AG78)/W72*100+$Q$2+$T$2+$T$3+$T$5</f>
        <v>3.6875</v>
      </c>
      <c r="AH72" s="174"/>
      <c r="AI72" s="175"/>
    </row>
    <row r="73" spans="1:36" ht="12.75">
      <c r="A73" s="141"/>
      <c r="B73" s="125" t="s">
        <v>24</v>
      </c>
      <c r="C73" s="126"/>
      <c r="D73" s="126"/>
      <c r="E73" s="126"/>
      <c r="F73" s="161"/>
      <c r="G73" s="169">
        <v>1120</v>
      </c>
      <c r="H73" s="167"/>
      <c r="I73" s="167"/>
      <c r="J73" s="168"/>
      <c r="K73" s="166">
        <v>1400</v>
      </c>
      <c r="L73" s="167"/>
      <c r="M73" s="167"/>
      <c r="N73" s="168"/>
      <c r="O73" s="169">
        <v>1400</v>
      </c>
      <c r="P73" s="167"/>
      <c r="Q73" s="167"/>
      <c r="R73" s="168"/>
      <c r="S73" s="166">
        <v>1200</v>
      </c>
      <c r="T73" s="167"/>
      <c r="U73" s="167"/>
      <c r="V73" s="168"/>
      <c r="W73" s="153">
        <f t="shared" si="4"/>
        <v>5120</v>
      </c>
      <c r="X73" s="154"/>
      <c r="Y73" s="154"/>
      <c r="Z73" s="155"/>
      <c r="AA73" s="125" t="s">
        <v>54</v>
      </c>
      <c r="AB73" s="126"/>
      <c r="AC73" s="126"/>
      <c r="AD73" s="126"/>
      <c r="AE73" s="126"/>
      <c r="AF73" s="126"/>
      <c r="AG73" s="180">
        <f>(AG72-$L$2)*W72/100</f>
        <v>4.21052631578948</v>
      </c>
      <c r="AH73" s="180"/>
      <c r="AI73" s="181"/>
      <c r="AJ73" s="2" t="s">
        <v>284</v>
      </c>
    </row>
    <row r="74" spans="1:43" ht="12.75">
      <c r="A74" s="141"/>
      <c r="B74" s="125" t="s">
        <v>29</v>
      </c>
      <c r="C74" s="126"/>
      <c r="D74" s="126"/>
      <c r="E74" s="126"/>
      <c r="F74" s="161"/>
      <c r="G74" s="156">
        <f>IF(G72&lt;=G73,$N$2+G73/100*($Q$2+$T$2)+$AI81/$AG78+$AI83+IF(AI80&gt;0,AI80,0),$N$2+G73/100*$Q$2+$AI81/$AG78+$AI83+IF(AI80&gt;0,AI80,0))</f>
        <v>28.8</v>
      </c>
      <c r="H74" s="157"/>
      <c r="I74" s="157"/>
      <c r="J74" s="158"/>
      <c r="K74" s="156">
        <f>IF(K72&lt;=K73,$N$2+K73/100*($Q$2+$T$2)+$AI81/$AG78+$AI83,$N$2+K73/100*$Q$2+$AI81/$AG78+$AI83)</f>
        <v>27.599999999999998</v>
      </c>
      <c r="L74" s="157"/>
      <c r="M74" s="157"/>
      <c r="N74" s="158"/>
      <c r="O74" s="156">
        <f>IF(O72&lt;=O73,$N$2+O73/100*($Q$2+$T$2)+$AI81/$AG78+$AI83,$N$2+O73/100*$Q$2+$AI81/$AG78+$AI83)</f>
        <v>27.599999999999998</v>
      </c>
      <c r="P74" s="157"/>
      <c r="Q74" s="157"/>
      <c r="R74" s="158"/>
      <c r="S74" s="156">
        <f>IF(S72&lt;=S73,$N$2+S73/100*($Q$2+$T$2)+$AI81/$AG78+$AI83,$N$2+S73/100*$Q$2+$AI81/$AG78+$AI83)</f>
        <v>24.799999999999997</v>
      </c>
      <c r="T74" s="157"/>
      <c r="U74" s="157"/>
      <c r="V74" s="158"/>
      <c r="W74" s="153">
        <f t="shared" si="4"/>
        <v>108.8</v>
      </c>
      <c r="X74" s="154"/>
      <c r="Y74" s="154"/>
      <c r="Z74" s="155"/>
      <c r="AA74" s="125" t="s">
        <v>55</v>
      </c>
      <c r="AB74" s="126"/>
      <c r="AC74" s="126"/>
      <c r="AD74" s="126"/>
      <c r="AE74" s="126"/>
      <c r="AF74" s="126"/>
      <c r="AG74" s="122">
        <f>SUM(AJ75:AQ75)+AG73</f>
        <v>4.21052631578948</v>
      </c>
      <c r="AH74" s="123"/>
      <c r="AI74" s="124"/>
      <c r="AJ74" s="225">
        <f>$N$2+G72*($Q$2+$T$2+$T$3/$AG78)/100+$T$5*$W72/100</f>
        <v>28.8</v>
      </c>
      <c r="AK74" s="226"/>
      <c r="AL74" s="225">
        <f>$N$2+K72*($Q$2+$T$2+$T$3/$AG78)/100</f>
        <v>27.599999999999998</v>
      </c>
      <c r="AM74" s="226"/>
      <c r="AN74" s="225">
        <f>$N$2+O72*($Q$2+$T$2+$T$3/$AG78)/100</f>
        <v>27.599999999999998</v>
      </c>
      <c r="AO74" s="226"/>
      <c r="AP74" s="225">
        <f>$N$2+S72*($Q$2+$T$2+$T$3/$AG78)/100</f>
        <v>24.8</v>
      </c>
      <c r="AQ74" s="226"/>
    </row>
    <row r="75" spans="1:43" ht="12.75">
      <c r="A75" s="141"/>
      <c r="B75" s="125" t="s">
        <v>10</v>
      </c>
      <c r="C75" s="126"/>
      <c r="D75" s="126"/>
      <c r="E75" s="126"/>
      <c r="F75" s="161"/>
      <c r="G75" s="169">
        <v>20</v>
      </c>
      <c r="H75" s="167"/>
      <c r="I75" s="167"/>
      <c r="J75" s="168"/>
      <c r="K75" s="166">
        <v>15</v>
      </c>
      <c r="L75" s="167"/>
      <c r="M75" s="167"/>
      <c r="N75" s="168"/>
      <c r="O75" s="169">
        <v>10</v>
      </c>
      <c r="P75" s="167"/>
      <c r="Q75" s="167"/>
      <c r="R75" s="168"/>
      <c r="S75" s="166">
        <v>8</v>
      </c>
      <c r="T75" s="167"/>
      <c r="U75" s="167"/>
      <c r="V75" s="168"/>
      <c r="W75" s="153">
        <f t="shared" si="4"/>
        <v>53</v>
      </c>
      <c r="X75" s="154"/>
      <c r="Y75" s="154"/>
      <c r="Z75" s="155"/>
      <c r="AA75" s="125" t="s">
        <v>56</v>
      </c>
      <c r="AB75" s="126"/>
      <c r="AC75" s="126"/>
      <c r="AD75" s="126"/>
      <c r="AE75" s="126"/>
      <c r="AF75" s="126"/>
      <c r="AG75" s="134">
        <f>W82+AG74</f>
        <v>1.0658141036401503E-14</v>
      </c>
      <c r="AH75" s="134"/>
      <c r="AI75" s="135"/>
      <c r="AJ75" s="225">
        <f>IF(AJ74&gt;G75,0,G75-AJ74)</f>
        <v>0</v>
      </c>
      <c r="AK75" s="226"/>
      <c r="AL75" s="225">
        <f>IF(AL74&gt;K75,0,K75-AL74)</f>
        <v>0</v>
      </c>
      <c r="AM75" s="226"/>
      <c r="AN75" s="225">
        <f>IF(AN74&gt;O75,0,O75-AN74)</f>
        <v>0</v>
      </c>
      <c r="AO75" s="226"/>
      <c r="AP75" s="225">
        <f>IF(AP74&gt;S75,0,S75-AP74)</f>
        <v>0</v>
      </c>
      <c r="AQ75" s="226"/>
    </row>
    <row r="76" spans="1:35" ht="13.5" thickBot="1">
      <c r="A76" s="141"/>
      <c r="B76" s="125" t="s">
        <v>58</v>
      </c>
      <c r="C76" s="126"/>
      <c r="D76" s="126"/>
      <c r="E76" s="126"/>
      <c r="F76" s="161"/>
      <c r="G76" s="156">
        <f>IF(G74&lt;G75,G75,G74)</f>
        <v>28.8</v>
      </c>
      <c r="H76" s="157"/>
      <c r="I76" s="157"/>
      <c r="J76" s="158"/>
      <c r="K76" s="160">
        <f>IF(K74&lt;K75,K75,K74)</f>
        <v>27.599999999999998</v>
      </c>
      <c r="L76" s="157"/>
      <c r="M76" s="157"/>
      <c r="N76" s="158"/>
      <c r="O76" s="156">
        <f>IF(O74&lt;O75,O75,O74)</f>
        <v>27.599999999999998</v>
      </c>
      <c r="P76" s="157"/>
      <c r="Q76" s="157"/>
      <c r="R76" s="158"/>
      <c r="S76" s="160">
        <f>IF(S74&lt;S75,S75,S74)</f>
        <v>24.799999999999997</v>
      </c>
      <c r="T76" s="157"/>
      <c r="U76" s="157"/>
      <c r="V76" s="158"/>
      <c r="W76" s="153">
        <f t="shared" si="4"/>
        <v>108.8</v>
      </c>
      <c r="X76" s="154"/>
      <c r="Y76" s="154"/>
      <c r="Z76" s="155"/>
      <c r="AA76" s="92" t="s">
        <v>57</v>
      </c>
      <c r="AB76" s="90"/>
      <c r="AC76" s="90"/>
      <c r="AD76" s="90"/>
      <c r="AE76" s="90"/>
      <c r="AF76" s="90"/>
      <c r="AG76" s="91">
        <f>-AG74+AG75-W83</f>
        <v>-4.210526315789473</v>
      </c>
      <c r="AH76" s="91"/>
      <c r="AI76" s="85"/>
    </row>
    <row r="77" spans="1:35" ht="12.75">
      <c r="A77" s="141"/>
      <c r="B77" s="125" t="s">
        <v>41</v>
      </c>
      <c r="C77" s="126"/>
      <c r="D77" s="126"/>
      <c r="E77" s="126"/>
      <c r="F77" s="161"/>
      <c r="G77" s="156">
        <v>20</v>
      </c>
      <c r="H77" s="157"/>
      <c r="I77" s="157"/>
      <c r="J77" s="158"/>
      <c r="K77" s="160">
        <v>20</v>
      </c>
      <c r="L77" s="157"/>
      <c r="M77" s="157"/>
      <c r="N77" s="158"/>
      <c r="O77" s="156">
        <v>20</v>
      </c>
      <c r="P77" s="157"/>
      <c r="Q77" s="157"/>
      <c r="R77" s="158"/>
      <c r="S77" s="160">
        <v>20</v>
      </c>
      <c r="T77" s="157"/>
      <c r="U77" s="157"/>
      <c r="V77" s="158"/>
      <c r="W77" s="153">
        <f t="shared" si="4"/>
        <v>80</v>
      </c>
      <c r="X77" s="154"/>
      <c r="Y77" s="154"/>
      <c r="Z77" s="155"/>
      <c r="AA77" s="86" t="s">
        <v>59</v>
      </c>
      <c r="AB77" s="87"/>
      <c r="AC77" s="87"/>
      <c r="AD77" s="87"/>
      <c r="AE77" s="87"/>
      <c r="AF77" s="87"/>
      <c r="AG77" s="88">
        <f>AG74+AG76</f>
        <v>7.105427357601002E-15</v>
      </c>
      <c r="AH77" s="89"/>
      <c r="AI77" s="84"/>
    </row>
    <row r="78" spans="1:35" ht="12.75">
      <c r="A78" s="141"/>
      <c r="B78" s="125" t="s">
        <v>42</v>
      </c>
      <c r="C78" s="126"/>
      <c r="D78" s="126"/>
      <c r="E78" s="126"/>
      <c r="F78" s="161"/>
      <c r="G78" s="169">
        <v>20</v>
      </c>
      <c r="H78" s="167"/>
      <c r="I78" s="167"/>
      <c r="J78" s="168"/>
      <c r="K78" s="166">
        <v>20</v>
      </c>
      <c r="L78" s="167"/>
      <c r="M78" s="167"/>
      <c r="N78" s="168"/>
      <c r="O78" s="169">
        <v>20</v>
      </c>
      <c r="P78" s="167"/>
      <c r="Q78" s="167"/>
      <c r="R78" s="168"/>
      <c r="S78" s="166">
        <v>20</v>
      </c>
      <c r="T78" s="167"/>
      <c r="U78" s="167"/>
      <c r="V78" s="168"/>
      <c r="W78" s="153">
        <f t="shared" si="4"/>
        <v>80</v>
      </c>
      <c r="X78" s="154"/>
      <c r="Y78" s="154"/>
      <c r="Z78" s="159"/>
      <c r="AA78" s="102" t="s">
        <v>279</v>
      </c>
      <c r="AB78" s="103"/>
      <c r="AC78" s="103"/>
      <c r="AD78" s="103"/>
      <c r="AE78" s="103"/>
      <c r="AF78" s="103"/>
      <c r="AG78" s="95">
        <v>4</v>
      </c>
      <c r="AH78" s="95"/>
      <c r="AI78" s="95"/>
    </row>
    <row r="79" spans="1:35" ht="12.75">
      <c r="A79" s="141"/>
      <c r="B79" s="125" t="s">
        <v>43</v>
      </c>
      <c r="C79" s="126"/>
      <c r="D79" s="126"/>
      <c r="E79" s="126"/>
      <c r="F79" s="161"/>
      <c r="G79" s="165">
        <f>G77-G78</f>
        <v>0</v>
      </c>
      <c r="H79" s="163"/>
      <c r="I79" s="163"/>
      <c r="J79" s="164"/>
      <c r="K79" s="162">
        <f>K77-K78</f>
        <v>0</v>
      </c>
      <c r="L79" s="163"/>
      <c r="M79" s="163"/>
      <c r="N79" s="164"/>
      <c r="O79" s="165">
        <f>O77-O78</f>
        <v>0</v>
      </c>
      <c r="P79" s="163"/>
      <c r="Q79" s="163"/>
      <c r="R79" s="164"/>
      <c r="S79" s="162">
        <f>S77-S78</f>
        <v>0</v>
      </c>
      <c r="T79" s="163"/>
      <c r="U79" s="163"/>
      <c r="V79" s="164"/>
      <c r="W79" s="153">
        <f t="shared" si="4"/>
        <v>0</v>
      </c>
      <c r="X79" s="154"/>
      <c r="Y79" s="154"/>
      <c r="Z79" s="159"/>
      <c r="AA79" s="126">
        <f>W73*$L$2/100-AI84</f>
        <v>184.58947368421053</v>
      </c>
      <c r="AB79" s="126"/>
      <c r="AC79" s="126"/>
      <c r="AD79" s="126"/>
      <c r="AE79" s="126"/>
      <c r="AF79" s="126"/>
      <c r="AG79" s="133"/>
      <c r="AH79" s="133"/>
      <c r="AI79" s="133"/>
    </row>
    <row r="80" spans="1:38" ht="12.75">
      <c r="A80" s="141"/>
      <c r="B80" s="125" t="s">
        <v>30</v>
      </c>
      <c r="C80" s="126"/>
      <c r="D80" s="126"/>
      <c r="E80" s="126"/>
      <c r="F80" s="161"/>
      <c r="G80" s="156">
        <f>G73*$L$2/100-AA84</f>
        <v>40.37894736842105</v>
      </c>
      <c r="H80" s="157"/>
      <c r="I80" s="157"/>
      <c r="J80" s="158"/>
      <c r="K80" s="156">
        <f>K73*$L$2/100-AC84</f>
        <v>50.473684210526315</v>
      </c>
      <c r="L80" s="157"/>
      <c r="M80" s="157"/>
      <c r="N80" s="158"/>
      <c r="O80" s="156">
        <f>O73*$L$2/100-AE84</f>
        <v>50.473684210526315</v>
      </c>
      <c r="P80" s="157"/>
      <c r="Q80" s="157"/>
      <c r="R80" s="158"/>
      <c r="S80" s="156">
        <f>S73*$L$2/100-AG84</f>
        <v>43.26315789473684</v>
      </c>
      <c r="T80" s="157"/>
      <c r="U80" s="157"/>
      <c r="V80" s="158"/>
      <c r="W80" s="153">
        <f t="shared" si="4"/>
        <v>184.58947368421053</v>
      </c>
      <c r="X80" s="154"/>
      <c r="Y80" s="154"/>
      <c r="Z80" s="159"/>
      <c r="AA80" s="101">
        <f>IF(G73&lt;G72,$T$5*(G73-G72)*$L$3/100,$T$5*G73/100)</f>
        <v>1.12</v>
      </c>
      <c r="AB80" s="101"/>
      <c r="AC80" s="101">
        <f>IF(K73&lt;K72,$T$5*(K73-K72)*$L$3/100,$T$5*K73/100)</f>
        <v>1.4</v>
      </c>
      <c r="AD80" s="101"/>
      <c r="AE80" s="101">
        <f>IF(O73&lt;O72,$T$5*(O73-O72)*$L$3/100,$T$5*O73/100)</f>
        <v>1.4</v>
      </c>
      <c r="AF80" s="101"/>
      <c r="AG80" s="101">
        <f>IF(S73&lt;S72,$T$5*(S73-S72)*$L$3/100,$T$5*S73/100)</f>
        <v>1.2</v>
      </c>
      <c r="AH80" s="101"/>
      <c r="AI80" s="97">
        <f>SUM(AA80:AH80)</f>
        <v>5.12</v>
      </c>
      <c r="AJ80" s="98"/>
      <c r="AK80" s="98"/>
      <c r="AL80" s="2" t="s">
        <v>277</v>
      </c>
    </row>
    <row r="81" spans="1:38" ht="12.75">
      <c r="A81" s="141"/>
      <c r="B81" s="125" t="s">
        <v>283</v>
      </c>
      <c r="C81" s="126"/>
      <c r="D81" s="126"/>
      <c r="E81" s="126"/>
      <c r="F81" s="161"/>
      <c r="G81" s="156">
        <f>G80-G77-G76+$AI83</f>
        <v>-8.421052631578949</v>
      </c>
      <c r="H81" s="157"/>
      <c r="I81" s="157"/>
      <c r="J81" s="158"/>
      <c r="K81" s="156">
        <f>K80-K77-K76+$AI83</f>
        <v>2.873684210526317</v>
      </c>
      <c r="L81" s="157"/>
      <c r="M81" s="157"/>
      <c r="N81" s="158"/>
      <c r="O81" s="156">
        <f>O80-O77-O76+$AI83</f>
        <v>2.873684210526317</v>
      </c>
      <c r="P81" s="157"/>
      <c r="Q81" s="157"/>
      <c r="R81" s="158"/>
      <c r="S81" s="156">
        <f>S80-S77-S76+$AI83</f>
        <v>-1.5368421052631547</v>
      </c>
      <c r="T81" s="157"/>
      <c r="U81" s="157"/>
      <c r="V81" s="158"/>
      <c r="W81" s="153">
        <f t="shared" si="4"/>
        <v>-4.210526315789469</v>
      </c>
      <c r="X81" s="154"/>
      <c r="Y81" s="154"/>
      <c r="Z81" s="159"/>
      <c r="AA81" s="101">
        <f>IF(G73&lt;G72,0,$T$3*G73/100)</f>
        <v>0</v>
      </c>
      <c r="AB81" s="101"/>
      <c r="AC81" s="101">
        <f>IF(K73&lt;K72,0,$T$3*K73/100)</f>
        <v>0</v>
      </c>
      <c r="AD81" s="101"/>
      <c r="AE81" s="101">
        <f>IF(O73&lt;O72,0,$T$3*O73/100)</f>
        <v>0</v>
      </c>
      <c r="AF81" s="101"/>
      <c r="AG81" s="101">
        <f>IF(S73&lt;S72,0,$T$3*S73/100)</f>
        <v>0</v>
      </c>
      <c r="AH81" s="101"/>
      <c r="AI81" s="97">
        <f>SUM(AA81:AH81)</f>
        <v>0</v>
      </c>
      <c r="AJ81" s="98"/>
      <c r="AK81" s="98"/>
      <c r="AL81" s="2" t="s">
        <v>248</v>
      </c>
    </row>
    <row r="82" spans="1:38" ht="12.75">
      <c r="A82" s="141"/>
      <c r="B82" s="125" t="s">
        <v>45</v>
      </c>
      <c r="C82" s="126"/>
      <c r="D82" s="126"/>
      <c r="E82" s="126"/>
      <c r="F82" s="161"/>
      <c r="G82" s="156">
        <f>G81+G79</f>
        <v>-8.421052631578949</v>
      </c>
      <c r="H82" s="157"/>
      <c r="I82" s="157"/>
      <c r="J82" s="158"/>
      <c r="K82" s="160">
        <f>K81+K79</f>
        <v>2.873684210526317</v>
      </c>
      <c r="L82" s="157"/>
      <c r="M82" s="157"/>
      <c r="N82" s="158"/>
      <c r="O82" s="156">
        <f>O81+O79</f>
        <v>2.873684210526317</v>
      </c>
      <c r="P82" s="157"/>
      <c r="Q82" s="157"/>
      <c r="R82" s="158"/>
      <c r="S82" s="160">
        <f>S81+S79</f>
        <v>-1.5368421052631547</v>
      </c>
      <c r="T82" s="157"/>
      <c r="U82" s="157"/>
      <c r="V82" s="158"/>
      <c r="W82" s="153">
        <f t="shared" si="4"/>
        <v>-4.210526315789469</v>
      </c>
      <c r="X82" s="154"/>
      <c r="Y82" s="154"/>
      <c r="Z82" s="155"/>
      <c r="AA82" s="101">
        <f>IF(G73&lt;G72,0,$T$4*G73/100)</f>
        <v>0</v>
      </c>
      <c r="AB82" s="101"/>
      <c r="AC82" s="101">
        <f>IF(K73&lt;K72,0,$T$4*K73/100)</f>
        <v>0</v>
      </c>
      <c r="AD82" s="101"/>
      <c r="AE82" s="101">
        <f>IF(O73&lt;O72,0,$T$4*O73/100)</f>
        <v>0</v>
      </c>
      <c r="AF82" s="101"/>
      <c r="AG82" s="101">
        <f>IF(S73&lt;S72,0,$T$4*S73/100)</f>
        <v>0</v>
      </c>
      <c r="AH82" s="101"/>
      <c r="AI82" s="97">
        <f>SUM(AA82:AH82)</f>
        <v>0</v>
      </c>
      <c r="AJ82" s="98"/>
      <c r="AK82" s="98"/>
      <c r="AL82" s="2" t="s">
        <v>281</v>
      </c>
    </row>
    <row r="83" spans="1:38" ht="12.75">
      <c r="A83" s="141"/>
      <c r="B83" s="194" t="s">
        <v>26</v>
      </c>
      <c r="C83" s="98"/>
      <c r="D83" s="98"/>
      <c r="E83" s="98"/>
      <c r="F83" s="195"/>
      <c r="G83" s="196">
        <f>$AG75/100*$AL$3</f>
        <v>1.3322676295501878E-15</v>
      </c>
      <c r="H83" s="197"/>
      <c r="I83" s="197"/>
      <c r="J83" s="198"/>
      <c r="K83" s="137">
        <f>$AG75/100*$AL$4</f>
        <v>7.993605777301126E-16</v>
      </c>
      <c r="L83" s="138"/>
      <c r="M83" s="138"/>
      <c r="N83" s="139"/>
      <c r="O83" s="137">
        <f>$AG75/100*$AL$4</f>
        <v>7.993605777301126E-16</v>
      </c>
      <c r="P83" s="138"/>
      <c r="Q83" s="138"/>
      <c r="R83" s="139"/>
      <c r="S83" s="137">
        <f>$AG75/100*$AL$4</f>
        <v>7.993605777301126E-16</v>
      </c>
      <c r="T83" s="138"/>
      <c r="U83" s="138"/>
      <c r="V83" s="139"/>
      <c r="W83" s="153">
        <f t="shared" si="4"/>
        <v>3.730349362740525E-15</v>
      </c>
      <c r="X83" s="154"/>
      <c r="Y83" s="154"/>
      <c r="Z83" s="155"/>
      <c r="AI83" s="224">
        <f>'ЦФУ Продажи'!V$59</f>
        <v>0</v>
      </c>
      <c r="AJ83" s="224"/>
      <c r="AK83" s="224"/>
      <c r="AL83" s="2" t="s">
        <v>280</v>
      </c>
    </row>
    <row r="84" spans="1:38" ht="13.5" thickBot="1">
      <c r="A84" s="141"/>
      <c r="B84" s="191" t="s">
        <v>28</v>
      </c>
      <c r="C84" s="192"/>
      <c r="D84" s="192"/>
      <c r="E84" s="192"/>
      <c r="F84" s="193"/>
      <c r="G84" s="149">
        <f>IF(G83&lt;0,G76,G76+G83)</f>
        <v>28.8</v>
      </c>
      <c r="H84" s="147"/>
      <c r="I84" s="147"/>
      <c r="J84" s="148"/>
      <c r="K84" s="146">
        <f>IF(K83&lt;0,K76,K76+K83)</f>
        <v>27.599999999999998</v>
      </c>
      <c r="L84" s="147"/>
      <c r="M84" s="147"/>
      <c r="N84" s="148"/>
      <c r="O84" s="149">
        <f>IF(O83&lt;0,O76,O76+O83)</f>
        <v>27.599999999999998</v>
      </c>
      <c r="P84" s="147"/>
      <c r="Q84" s="147"/>
      <c r="R84" s="148"/>
      <c r="S84" s="146">
        <f>IF(S83&lt;0,S76,S76+S83)</f>
        <v>24.799999999999997</v>
      </c>
      <c r="T84" s="147"/>
      <c r="U84" s="147"/>
      <c r="V84" s="148"/>
      <c r="W84" s="150">
        <f t="shared" si="4"/>
        <v>108.8</v>
      </c>
      <c r="X84" s="151"/>
      <c r="Y84" s="151"/>
      <c r="Z84" s="152"/>
      <c r="AA84" s="101">
        <f>IF($AI80&gt;0,IF(AA80&gt;=0,0,G73*($T$2+$T$3+$T$5)/100-AA80),IF(G73&lt;G72,G73*($T$2+$T$3+$T$5)/100,AA80))</f>
        <v>0</v>
      </c>
      <c r="AB84" s="101"/>
      <c r="AC84" s="101">
        <f>IF($AI80&gt;0,IF(AC80&gt;=0,0,K73*($T$2+$T$3+$T$4+$T$5)/100-AC80),IF(K73&lt;K72,K73*($T$2+$T$3+$T$4+$T$5)/100,AC80))</f>
        <v>0</v>
      </c>
      <c r="AD84" s="101"/>
      <c r="AE84" s="101">
        <f>IF($AI80&gt;0,IF(AE80&gt;=0,0,O73*($T$2+$T$3+$T$4+$T$5)/100-AE80),IF(O73&lt;O72,O73*($T$2+$T$3+$T$4+$T$5)/100,AE80))</f>
        <v>0</v>
      </c>
      <c r="AF84" s="101"/>
      <c r="AG84" s="101">
        <f>IF($AI80&gt;0,IF(AG80&gt;=0,0,S73*($T$2+$T$3+$T$4+$T$5)/100-AG80),IF(S73&lt;S72,S73*($T$2+$T$3+$T$4+$T$5)/100,AG80))</f>
        <v>0</v>
      </c>
      <c r="AH84" s="101"/>
      <c r="AI84" s="97">
        <f>SUM(AA84:AH84)</f>
        <v>0</v>
      </c>
      <c r="AJ84" s="98"/>
      <c r="AK84" s="98"/>
      <c r="AL84" s="2" t="s">
        <v>218</v>
      </c>
    </row>
    <row r="85" spans="1:35" ht="12.75" customHeight="1">
      <c r="A85" s="140" t="s">
        <v>67</v>
      </c>
      <c r="B85" s="93" t="s">
        <v>23</v>
      </c>
      <c r="C85" s="94"/>
      <c r="D85" s="94"/>
      <c r="E85" s="94"/>
      <c r="F85" s="199"/>
      <c r="G85" s="185">
        <v>1120</v>
      </c>
      <c r="H85" s="183"/>
      <c r="I85" s="183"/>
      <c r="J85" s="184"/>
      <c r="K85" s="182">
        <v>1400</v>
      </c>
      <c r="L85" s="183"/>
      <c r="M85" s="183"/>
      <c r="N85" s="184"/>
      <c r="O85" s="185">
        <v>1400</v>
      </c>
      <c r="P85" s="183"/>
      <c r="Q85" s="183"/>
      <c r="R85" s="184"/>
      <c r="S85" s="182">
        <v>1400</v>
      </c>
      <c r="T85" s="183"/>
      <c r="U85" s="183"/>
      <c r="V85" s="184"/>
      <c r="W85" s="170">
        <f t="shared" si="4"/>
        <v>5320</v>
      </c>
      <c r="X85" s="171"/>
      <c r="Y85" s="171"/>
      <c r="Z85" s="172"/>
      <c r="AA85" s="93" t="s">
        <v>53</v>
      </c>
      <c r="AB85" s="94"/>
      <c r="AC85" s="94"/>
      <c r="AD85" s="94"/>
      <c r="AE85" s="94"/>
      <c r="AF85" s="94"/>
      <c r="AG85" s="173">
        <f>(W90+$N$2*AG91)/W85*100+$Q$2+$T$2+$T$3+$T$5</f>
        <v>3.6052631578947367</v>
      </c>
      <c r="AH85" s="174"/>
      <c r="AI85" s="175"/>
    </row>
    <row r="86" spans="1:36" ht="12.75">
      <c r="A86" s="141"/>
      <c r="B86" s="125" t="s">
        <v>24</v>
      </c>
      <c r="C86" s="126"/>
      <c r="D86" s="126"/>
      <c r="E86" s="126"/>
      <c r="F86" s="161"/>
      <c r="G86" s="179">
        <v>1120</v>
      </c>
      <c r="H86" s="177"/>
      <c r="I86" s="177"/>
      <c r="J86" s="178"/>
      <c r="K86" s="176">
        <v>1400</v>
      </c>
      <c r="L86" s="177"/>
      <c r="M86" s="177"/>
      <c r="N86" s="178"/>
      <c r="O86" s="179">
        <v>1400</v>
      </c>
      <c r="P86" s="177"/>
      <c r="Q86" s="177"/>
      <c r="R86" s="178"/>
      <c r="S86" s="176">
        <v>1400</v>
      </c>
      <c r="T86" s="177"/>
      <c r="U86" s="177"/>
      <c r="V86" s="178"/>
      <c r="W86" s="153">
        <f t="shared" si="4"/>
        <v>5320</v>
      </c>
      <c r="X86" s="154"/>
      <c r="Y86" s="154"/>
      <c r="Z86" s="155"/>
      <c r="AA86" s="125" t="s">
        <v>54</v>
      </c>
      <c r="AB86" s="126"/>
      <c r="AC86" s="126"/>
      <c r="AD86" s="126"/>
      <c r="AE86" s="126"/>
      <c r="AF86" s="126"/>
      <c r="AG86" s="180">
        <f>(AG85-$L$2)*W85/100</f>
        <v>0</v>
      </c>
      <c r="AH86" s="180"/>
      <c r="AI86" s="181"/>
      <c r="AJ86" s="2" t="s">
        <v>284</v>
      </c>
    </row>
    <row r="87" spans="1:43" ht="12.75">
      <c r="A87" s="141"/>
      <c r="B87" s="125" t="s">
        <v>29</v>
      </c>
      <c r="C87" s="126"/>
      <c r="D87" s="126"/>
      <c r="E87" s="126"/>
      <c r="F87" s="161"/>
      <c r="G87" s="156">
        <f>IF(G85&lt;=G86,$N$2+G86/100*($Q$2+$T$2)+$AI94/$AG91+$AI96+IF(AI93&gt;0,AI93,0),$N$2+G86/100*$Q$2+$AI94/$AG91+$AI96+IF(AI93&gt;0,AI93,0))</f>
        <v>29</v>
      </c>
      <c r="H87" s="157"/>
      <c r="I87" s="157"/>
      <c r="J87" s="158"/>
      <c r="K87" s="156">
        <f>IF(K85&lt;=K86,$N$2+K86/100*($Q$2+$T$2)+$AI94/$AG91+$AI96,$N$2+K86/100*$Q$2+$AI94/$AG91+$AI96)</f>
        <v>27.599999999999998</v>
      </c>
      <c r="L87" s="157"/>
      <c r="M87" s="157"/>
      <c r="N87" s="158"/>
      <c r="O87" s="156">
        <f>IF(O85&lt;=O86,$N$2+O86/100*($Q$2+$T$2)+$AI94/$AG91+$AI96,$N$2+O86/100*$Q$2+$AI94/$AG91+$AI96)</f>
        <v>27.599999999999998</v>
      </c>
      <c r="P87" s="157"/>
      <c r="Q87" s="157"/>
      <c r="R87" s="158"/>
      <c r="S87" s="156">
        <f>IF(S85&lt;=S86,$N$2+S86/100*($Q$2+$T$2)+$AI94/$AG91+$AI96,$N$2+S86/100*$Q$2+$AI94/$AG91+$AI96)</f>
        <v>27.599999999999998</v>
      </c>
      <c r="T87" s="157"/>
      <c r="U87" s="157"/>
      <c r="V87" s="158"/>
      <c r="W87" s="153">
        <f t="shared" si="4"/>
        <v>111.79999999999998</v>
      </c>
      <c r="X87" s="154"/>
      <c r="Y87" s="154"/>
      <c r="Z87" s="155"/>
      <c r="AA87" s="125" t="s">
        <v>55</v>
      </c>
      <c r="AB87" s="126"/>
      <c r="AC87" s="126"/>
      <c r="AD87" s="126"/>
      <c r="AE87" s="126"/>
      <c r="AF87" s="126"/>
      <c r="AG87" s="122">
        <f>SUM(AJ88:AQ88)+AG86</f>
        <v>0</v>
      </c>
      <c r="AH87" s="123"/>
      <c r="AI87" s="124"/>
      <c r="AJ87" s="225">
        <f>$N$2+G85*($Q$2+$T$2+$T$3/$AG91)/100+$T$5*$W85/100</f>
        <v>29</v>
      </c>
      <c r="AK87" s="226"/>
      <c r="AL87" s="225">
        <f>$N$2+K85*($Q$2+$T$2+$T$3/$AG91)/100</f>
        <v>27.599999999999998</v>
      </c>
      <c r="AM87" s="226"/>
      <c r="AN87" s="225">
        <f>$N$2+O85*($Q$2+$T$2+$T$3/$AG91)/100</f>
        <v>27.599999999999998</v>
      </c>
      <c r="AO87" s="226"/>
      <c r="AP87" s="225">
        <f>$N$2+S85*($Q$2+$T$2+$T$3/$AG91)/100</f>
        <v>27.599999999999998</v>
      </c>
      <c r="AQ87" s="226"/>
    </row>
    <row r="88" spans="1:43" ht="12.75">
      <c r="A88" s="141"/>
      <c r="B88" s="125" t="s">
        <v>10</v>
      </c>
      <c r="C88" s="126"/>
      <c r="D88" s="126"/>
      <c r="E88" s="126"/>
      <c r="F88" s="161"/>
      <c r="G88" s="169">
        <v>20</v>
      </c>
      <c r="H88" s="167"/>
      <c r="I88" s="167"/>
      <c r="J88" s="168"/>
      <c r="K88" s="166">
        <v>15</v>
      </c>
      <c r="L88" s="167"/>
      <c r="M88" s="167"/>
      <c r="N88" s="168"/>
      <c r="O88" s="169">
        <v>10</v>
      </c>
      <c r="P88" s="167"/>
      <c r="Q88" s="167"/>
      <c r="R88" s="168"/>
      <c r="S88" s="166">
        <v>8</v>
      </c>
      <c r="T88" s="167"/>
      <c r="U88" s="167"/>
      <c r="V88" s="168"/>
      <c r="W88" s="153">
        <f t="shared" si="4"/>
        <v>53</v>
      </c>
      <c r="X88" s="154"/>
      <c r="Y88" s="154"/>
      <c r="Z88" s="155"/>
      <c r="AA88" s="125" t="s">
        <v>56</v>
      </c>
      <c r="AB88" s="126"/>
      <c r="AC88" s="126"/>
      <c r="AD88" s="126"/>
      <c r="AE88" s="126"/>
      <c r="AF88" s="126"/>
      <c r="AG88" s="134">
        <f>W95+AG87</f>
        <v>3.552713678800501E-15</v>
      </c>
      <c r="AH88" s="134"/>
      <c r="AI88" s="135"/>
      <c r="AJ88" s="225">
        <f>IF(AJ87&gt;G88,0,G88-AJ87)</f>
        <v>0</v>
      </c>
      <c r="AK88" s="226"/>
      <c r="AL88" s="225">
        <f>IF(AL87&gt;K88,0,K88-AL87)</f>
        <v>0</v>
      </c>
      <c r="AM88" s="226"/>
      <c r="AN88" s="225">
        <f>IF(AN87&gt;O88,0,O88-AN87)</f>
        <v>0</v>
      </c>
      <c r="AO88" s="226"/>
      <c r="AP88" s="225">
        <f>IF(AP87&gt;S88,0,S88-AP87)</f>
        <v>0</v>
      </c>
      <c r="AQ88" s="226"/>
    </row>
    <row r="89" spans="1:35" ht="13.5" thickBot="1">
      <c r="A89" s="141"/>
      <c r="B89" s="125" t="s">
        <v>58</v>
      </c>
      <c r="C89" s="126"/>
      <c r="D89" s="126"/>
      <c r="E89" s="126"/>
      <c r="F89" s="161"/>
      <c r="G89" s="156">
        <f>IF(G87&lt;G88,G88,G87)</f>
        <v>29</v>
      </c>
      <c r="H89" s="157"/>
      <c r="I89" s="157"/>
      <c r="J89" s="158"/>
      <c r="K89" s="160">
        <f>IF(K87&lt;K88,K88,K87)</f>
        <v>27.599999999999998</v>
      </c>
      <c r="L89" s="157"/>
      <c r="M89" s="157"/>
      <c r="N89" s="158"/>
      <c r="O89" s="156">
        <f>IF(O87&lt;O88,O88,O87)</f>
        <v>27.599999999999998</v>
      </c>
      <c r="P89" s="157"/>
      <c r="Q89" s="157"/>
      <c r="R89" s="158"/>
      <c r="S89" s="160">
        <f>IF(S87&lt;S88,S88,S87)</f>
        <v>27.599999999999998</v>
      </c>
      <c r="T89" s="157"/>
      <c r="U89" s="157"/>
      <c r="V89" s="158"/>
      <c r="W89" s="153">
        <f t="shared" si="4"/>
        <v>111.79999999999998</v>
      </c>
      <c r="X89" s="154"/>
      <c r="Y89" s="154"/>
      <c r="Z89" s="155"/>
      <c r="AA89" s="92" t="s">
        <v>57</v>
      </c>
      <c r="AB89" s="90"/>
      <c r="AC89" s="90"/>
      <c r="AD89" s="90"/>
      <c r="AE89" s="90"/>
      <c r="AF89" s="90"/>
      <c r="AG89" s="91">
        <f>-AG87+AG88-W96</f>
        <v>2.3092638912203253E-15</v>
      </c>
      <c r="AH89" s="91"/>
      <c r="AI89" s="85"/>
    </row>
    <row r="90" spans="1:35" ht="12.75">
      <c r="A90" s="141"/>
      <c r="B90" s="125" t="s">
        <v>41</v>
      </c>
      <c r="C90" s="126"/>
      <c r="D90" s="126"/>
      <c r="E90" s="126"/>
      <c r="F90" s="161"/>
      <c r="G90" s="156">
        <v>20</v>
      </c>
      <c r="H90" s="157"/>
      <c r="I90" s="157"/>
      <c r="J90" s="158"/>
      <c r="K90" s="160">
        <v>20</v>
      </c>
      <c r="L90" s="157"/>
      <c r="M90" s="157"/>
      <c r="N90" s="158"/>
      <c r="O90" s="156">
        <v>20</v>
      </c>
      <c r="P90" s="157"/>
      <c r="Q90" s="157"/>
      <c r="R90" s="158"/>
      <c r="S90" s="160">
        <v>20</v>
      </c>
      <c r="T90" s="157"/>
      <c r="U90" s="157"/>
      <c r="V90" s="158"/>
      <c r="W90" s="153">
        <f t="shared" si="4"/>
        <v>80</v>
      </c>
      <c r="X90" s="154"/>
      <c r="Y90" s="154"/>
      <c r="Z90" s="155"/>
      <c r="AA90" s="86" t="s">
        <v>59</v>
      </c>
      <c r="AB90" s="87"/>
      <c r="AC90" s="87"/>
      <c r="AD90" s="87"/>
      <c r="AE90" s="87"/>
      <c r="AF90" s="87"/>
      <c r="AG90" s="88">
        <f>AG87+AG89</f>
        <v>2.3092638912203253E-15</v>
      </c>
      <c r="AH90" s="89"/>
      <c r="AI90" s="84"/>
    </row>
    <row r="91" spans="1:35" ht="12.75">
      <c r="A91" s="141"/>
      <c r="B91" s="125" t="s">
        <v>42</v>
      </c>
      <c r="C91" s="126"/>
      <c r="D91" s="126"/>
      <c r="E91" s="126"/>
      <c r="F91" s="161"/>
      <c r="G91" s="169">
        <v>20</v>
      </c>
      <c r="H91" s="167"/>
      <c r="I91" s="167"/>
      <c r="J91" s="168"/>
      <c r="K91" s="166">
        <v>20</v>
      </c>
      <c r="L91" s="167"/>
      <c r="M91" s="167"/>
      <c r="N91" s="168"/>
      <c r="O91" s="169">
        <v>20</v>
      </c>
      <c r="P91" s="167"/>
      <c r="Q91" s="167"/>
      <c r="R91" s="168"/>
      <c r="S91" s="166">
        <v>20</v>
      </c>
      <c r="T91" s="167"/>
      <c r="U91" s="167"/>
      <c r="V91" s="168"/>
      <c r="W91" s="153">
        <f t="shared" si="4"/>
        <v>80</v>
      </c>
      <c r="X91" s="154"/>
      <c r="Y91" s="154"/>
      <c r="Z91" s="159"/>
      <c r="AA91" s="102" t="s">
        <v>279</v>
      </c>
      <c r="AB91" s="103"/>
      <c r="AC91" s="103"/>
      <c r="AD91" s="103"/>
      <c r="AE91" s="103"/>
      <c r="AF91" s="103"/>
      <c r="AG91" s="95">
        <v>4</v>
      </c>
      <c r="AH91" s="95"/>
      <c r="AI91" s="95"/>
    </row>
    <row r="92" spans="1:35" ht="12.75">
      <c r="A92" s="141"/>
      <c r="B92" s="125" t="s">
        <v>43</v>
      </c>
      <c r="C92" s="126"/>
      <c r="D92" s="126"/>
      <c r="E92" s="126"/>
      <c r="F92" s="161"/>
      <c r="G92" s="165">
        <f>G90-G91</f>
        <v>0</v>
      </c>
      <c r="H92" s="163"/>
      <c r="I92" s="163"/>
      <c r="J92" s="164"/>
      <c r="K92" s="162">
        <f>K90-K91</f>
        <v>0</v>
      </c>
      <c r="L92" s="163"/>
      <c r="M92" s="163"/>
      <c r="N92" s="164"/>
      <c r="O92" s="165">
        <f>O90-O91</f>
        <v>0</v>
      </c>
      <c r="P92" s="163"/>
      <c r="Q92" s="163"/>
      <c r="R92" s="164"/>
      <c r="S92" s="162">
        <f>S90-S91</f>
        <v>0</v>
      </c>
      <c r="T92" s="163"/>
      <c r="U92" s="163"/>
      <c r="V92" s="164"/>
      <c r="W92" s="153">
        <f t="shared" si="4"/>
        <v>0</v>
      </c>
      <c r="X92" s="154"/>
      <c r="Y92" s="154"/>
      <c r="Z92" s="159"/>
      <c r="AA92" s="126">
        <f>W86*$L$2/100-AI97</f>
        <v>191.8</v>
      </c>
      <c r="AB92" s="126"/>
      <c r="AC92" s="126"/>
      <c r="AD92" s="126"/>
      <c r="AE92" s="126"/>
      <c r="AF92" s="126"/>
      <c r="AG92" s="133"/>
      <c r="AH92" s="133"/>
      <c r="AI92" s="133"/>
    </row>
    <row r="93" spans="1:38" ht="12.75">
      <c r="A93" s="141"/>
      <c r="B93" s="125" t="s">
        <v>30</v>
      </c>
      <c r="C93" s="126"/>
      <c r="D93" s="126"/>
      <c r="E93" s="126"/>
      <c r="F93" s="161"/>
      <c r="G93" s="156">
        <f>G86*$L$2/100-AA97</f>
        <v>40.37894736842105</v>
      </c>
      <c r="H93" s="157"/>
      <c r="I93" s="157"/>
      <c r="J93" s="158"/>
      <c r="K93" s="156">
        <f>K86*$L$2/100-AC97</f>
        <v>50.473684210526315</v>
      </c>
      <c r="L93" s="157"/>
      <c r="M93" s="157"/>
      <c r="N93" s="158"/>
      <c r="O93" s="156">
        <f>O86*$L$2/100-AE97</f>
        <v>50.473684210526315</v>
      </c>
      <c r="P93" s="157"/>
      <c r="Q93" s="157"/>
      <c r="R93" s="158"/>
      <c r="S93" s="156">
        <f>S86*$L$2/100-AG97</f>
        <v>50.473684210526315</v>
      </c>
      <c r="T93" s="157"/>
      <c r="U93" s="157"/>
      <c r="V93" s="158"/>
      <c r="W93" s="153">
        <f t="shared" si="4"/>
        <v>191.8</v>
      </c>
      <c r="X93" s="154"/>
      <c r="Y93" s="154"/>
      <c r="Z93" s="159"/>
      <c r="AA93" s="101">
        <f>IF(G86&lt;G85,$T$5*(G86-G85)*$L$3/100,$T$5*G86/100)</f>
        <v>1.12</v>
      </c>
      <c r="AB93" s="101"/>
      <c r="AC93" s="101">
        <f>IF(K86&lt;K85,$T$5*(K86-K85)*$L$3/100,$T$5*K86/100)</f>
        <v>1.4</v>
      </c>
      <c r="AD93" s="101"/>
      <c r="AE93" s="101">
        <f>IF(O86&lt;O85,$T$5*(O86-O85)*$L$3/100,$T$5*O86/100)</f>
        <v>1.4</v>
      </c>
      <c r="AF93" s="101"/>
      <c r="AG93" s="101">
        <f>IF(S86&lt;S85,$T$5*(S86-S85)*$L$3/100,$T$5*S86/100)</f>
        <v>1.4</v>
      </c>
      <c r="AH93" s="101"/>
      <c r="AI93" s="97">
        <f>SUM(AA93:AH93)</f>
        <v>5.32</v>
      </c>
      <c r="AJ93" s="98"/>
      <c r="AK93" s="98"/>
      <c r="AL93" s="2" t="s">
        <v>277</v>
      </c>
    </row>
    <row r="94" spans="1:38" ht="12.75">
      <c r="A94" s="141"/>
      <c r="B94" s="125" t="s">
        <v>283</v>
      </c>
      <c r="C94" s="126"/>
      <c r="D94" s="126"/>
      <c r="E94" s="126"/>
      <c r="F94" s="161"/>
      <c r="G94" s="156">
        <f>G93-G90-G89+$AI96</f>
        <v>-8.621052631578948</v>
      </c>
      <c r="H94" s="157"/>
      <c r="I94" s="157"/>
      <c r="J94" s="158"/>
      <c r="K94" s="156">
        <f>K93-K90-K89+$AI96</f>
        <v>2.873684210526317</v>
      </c>
      <c r="L94" s="157"/>
      <c r="M94" s="157"/>
      <c r="N94" s="158"/>
      <c r="O94" s="156">
        <f>O93-O90-O89+$AI96</f>
        <v>2.873684210526317</v>
      </c>
      <c r="P94" s="157"/>
      <c r="Q94" s="157"/>
      <c r="R94" s="158"/>
      <c r="S94" s="156">
        <f>S93-S90-S89+$AI96</f>
        <v>2.873684210526317</v>
      </c>
      <c r="T94" s="157"/>
      <c r="U94" s="157"/>
      <c r="V94" s="158"/>
      <c r="W94" s="153">
        <f t="shared" si="4"/>
        <v>3.552713678800501E-15</v>
      </c>
      <c r="X94" s="154"/>
      <c r="Y94" s="154"/>
      <c r="Z94" s="159"/>
      <c r="AA94" s="101">
        <f>IF(G86&lt;G85,0,$T$3*G86/100)</f>
        <v>0</v>
      </c>
      <c r="AB94" s="101"/>
      <c r="AC94" s="101">
        <f>IF(K86&lt;K85,0,$T$3*K86/100)</f>
        <v>0</v>
      </c>
      <c r="AD94" s="101"/>
      <c r="AE94" s="101">
        <f>IF(O86&lt;O85,0,$T$3*O86/100)</f>
        <v>0</v>
      </c>
      <c r="AF94" s="101"/>
      <c r="AG94" s="101">
        <f>IF(S86&lt;S85,0,$T$3*S86/100)</f>
        <v>0</v>
      </c>
      <c r="AH94" s="101"/>
      <c r="AI94" s="97">
        <f>SUM(AA94:AH94)</f>
        <v>0</v>
      </c>
      <c r="AJ94" s="98"/>
      <c r="AK94" s="98"/>
      <c r="AL94" s="2" t="s">
        <v>248</v>
      </c>
    </row>
    <row r="95" spans="1:38" ht="12.75">
      <c r="A95" s="141"/>
      <c r="B95" s="125" t="s">
        <v>45</v>
      </c>
      <c r="C95" s="126"/>
      <c r="D95" s="126"/>
      <c r="E95" s="126"/>
      <c r="F95" s="161"/>
      <c r="G95" s="156">
        <f>G94+G92</f>
        <v>-8.621052631578948</v>
      </c>
      <c r="H95" s="157"/>
      <c r="I95" s="157"/>
      <c r="J95" s="158"/>
      <c r="K95" s="160">
        <f>K94+K92</f>
        <v>2.873684210526317</v>
      </c>
      <c r="L95" s="157"/>
      <c r="M95" s="157"/>
      <c r="N95" s="158"/>
      <c r="O95" s="156">
        <f>O94+O92</f>
        <v>2.873684210526317</v>
      </c>
      <c r="P95" s="157"/>
      <c r="Q95" s="157"/>
      <c r="R95" s="158"/>
      <c r="S95" s="160">
        <f>S94+S92</f>
        <v>2.873684210526317</v>
      </c>
      <c r="T95" s="157"/>
      <c r="U95" s="157"/>
      <c r="V95" s="158"/>
      <c r="W95" s="153">
        <f t="shared" si="4"/>
        <v>3.552713678800501E-15</v>
      </c>
      <c r="X95" s="154"/>
      <c r="Y95" s="154"/>
      <c r="Z95" s="155"/>
      <c r="AA95" s="101">
        <f>IF(G86&lt;G85,0,$T$4*G86/100)</f>
        <v>0</v>
      </c>
      <c r="AB95" s="101"/>
      <c r="AC95" s="101">
        <f>IF(K86&lt;K85,0,$T$4*K86/100)</f>
        <v>0</v>
      </c>
      <c r="AD95" s="101"/>
      <c r="AE95" s="101">
        <f>IF(O86&lt;O85,0,$T$4*O86/100)</f>
        <v>0</v>
      </c>
      <c r="AF95" s="101"/>
      <c r="AG95" s="101">
        <f>IF(S86&lt;S85,0,$T$4*S86/100)</f>
        <v>0</v>
      </c>
      <c r="AH95" s="101"/>
      <c r="AI95" s="97">
        <f>SUM(AA95:AH95)</f>
        <v>0</v>
      </c>
      <c r="AJ95" s="98"/>
      <c r="AK95" s="98"/>
      <c r="AL95" s="2" t="s">
        <v>281</v>
      </c>
    </row>
    <row r="96" spans="1:38" ht="12.75">
      <c r="A96" s="141"/>
      <c r="B96" s="194" t="s">
        <v>26</v>
      </c>
      <c r="C96" s="98"/>
      <c r="D96" s="98"/>
      <c r="E96" s="98"/>
      <c r="F96" s="195"/>
      <c r="G96" s="196">
        <f>$AG88/100*$AL$3</f>
        <v>4.440892098500626E-16</v>
      </c>
      <c r="H96" s="197"/>
      <c r="I96" s="197"/>
      <c r="J96" s="198"/>
      <c r="K96" s="137">
        <f>$AG88/100*$AL$4</f>
        <v>2.6645352591003756E-16</v>
      </c>
      <c r="L96" s="138"/>
      <c r="M96" s="138"/>
      <c r="N96" s="139"/>
      <c r="O96" s="137">
        <f>$AG88/100*$AL$4</f>
        <v>2.6645352591003756E-16</v>
      </c>
      <c r="P96" s="138"/>
      <c r="Q96" s="138"/>
      <c r="R96" s="139"/>
      <c r="S96" s="137">
        <f>$AG88/100*$AL$4</f>
        <v>2.6645352591003756E-16</v>
      </c>
      <c r="T96" s="138"/>
      <c r="U96" s="138"/>
      <c r="V96" s="139"/>
      <c r="W96" s="153">
        <f t="shared" si="4"/>
        <v>1.2434497875801754E-15</v>
      </c>
      <c r="X96" s="154"/>
      <c r="Y96" s="154"/>
      <c r="Z96" s="155"/>
      <c r="AI96" s="224">
        <f>'ЦФУ Продажи'!Y$59</f>
        <v>0</v>
      </c>
      <c r="AJ96" s="224"/>
      <c r="AK96" s="224"/>
      <c r="AL96" s="2" t="s">
        <v>280</v>
      </c>
    </row>
    <row r="97" spans="1:38" ht="13.5" thickBot="1">
      <c r="A97" s="141"/>
      <c r="B97" s="191" t="s">
        <v>28</v>
      </c>
      <c r="C97" s="192"/>
      <c r="D97" s="192"/>
      <c r="E97" s="192"/>
      <c r="F97" s="193"/>
      <c r="G97" s="149">
        <f>IF(G96&lt;0,G89,G89+G96)</f>
        <v>29</v>
      </c>
      <c r="H97" s="147"/>
      <c r="I97" s="147"/>
      <c r="J97" s="148"/>
      <c r="K97" s="146">
        <f>IF(K96&lt;0,K89,K89+K96)</f>
        <v>27.599999999999998</v>
      </c>
      <c r="L97" s="147"/>
      <c r="M97" s="147"/>
      <c r="N97" s="148"/>
      <c r="O97" s="149">
        <f>IF(O96&lt;0,O89,O89+O96)</f>
        <v>27.599999999999998</v>
      </c>
      <c r="P97" s="147"/>
      <c r="Q97" s="147"/>
      <c r="R97" s="148"/>
      <c r="S97" s="146">
        <f>IF(S96&lt;0,S89,S89+S96)</f>
        <v>27.599999999999998</v>
      </c>
      <c r="T97" s="147"/>
      <c r="U97" s="147"/>
      <c r="V97" s="148"/>
      <c r="W97" s="150">
        <f t="shared" si="4"/>
        <v>111.79999999999998</v>
      </c>
      <c r="X97" s="151"/>
      <c r="Y97" s="151"/>
      <c r="Z97" s="152"/>
      <c r="AA97" s="101">
        <f>IF($AI93&gt;0,IF(AA93&gt;=0,0,G86*($T$2+$T$3+$T$5)/100-AA93),IF(G86&lt;G85,G86*($T$2+$T$3+$T$5)/100,AA93))</f>
        <v>0</v>
      </c>
      <c r="AB97" s="101"/>
      <c r="AC97" s="101">
        <f>IF($AI93&gt;0,IF(AC93&gt;=0,0,K86*($T$2+$T$3+$T$4+$T$5)/100-AC93),IF(K86&lt;K85,K86*($T$2+$T$3+$T$4+$T$5)/100,AC93))</f>
        <v>0</v>
      </c>
      <c r="AD97" s="101"/>
      <c r="AE97" s="101">
        <f>IF($AI93&gt;0,IF(AE93&gt;=0,0,O86*($T$2+$T$3+$T$4+$T$5)/100-AE93),IF(O86&lt;O85,O86*($T$2+$T$3+$T$4+$T$5)/100,AE93))</f>
        <v>0</v>
      </c>
      <c r="AF97" s="101"/>
      <c r="AG97" s="101">
        <f>IF($AI93&gt;0,IF(AG93&gt;=0,0,S86*($T$2+$T$3+$T$4+$T$5)/100-AG93),IF(S86&lt;S85,S86*($T$2+$T$3+$T$4+$T$5)/100,AG93))</f>
        <v>0</v>
      </c>
      <c r="AH97" s="101"/>
      <c r="AI97" s="97">
        <f>SUM(AA97:AH97)</f>
        <v>0</v>
      </c>
      <c r="AJ97" s="98"/>
      <c r="AK97" s="98"/>
      <c r="AL97" s="2" t="s">
        <v>218</v>
      </c>
    </row>
    <row r="98" spans="1:35" ht="12.75" customHeight="1">
      <c r="A98" s="140" t="s">
        <v>68</v>
      </c>
      <c r="B98" s="93" t="s">
        <v>23</v>
      </c>
      <c r="C98" s="94"/>
      <c r="D98" s="94"/>
      <c r="E98" s="94"/>
      <c r="F98" s="199"/>
      <c r="G98" s="185">
        <v>1120</v>
      </c>
      <c r="H98" s="183"/>
      <c r="I98" s="183"/>
      <c r="J98" s="184"/>
      <c r="K98" s="182">
        <v>1400</v>
      </c>
      <c r="L98" s="183"/>
      <c r="M98" s="183"/>
      <c r="N98" s="184"/>
      <c r="O98" s="185">
        <v>1400</v>
      </c>
      <c r="P98" s="183"/>
      <c r="Q98" s="183"/>
      <c r="R98" s="184"/>
      <c r="S98" s="182">
        <v>1400</v>
      </c>
      <c r="T98" s="183"/>
      <c r="U98" s="183"/>
      <c r="V98" s="184"/>
      <c r="W98" s="170">
        <f t="shared" si="4"/>
        <v>5320</v>
      </c>
      <c r="X98" s="171"/>
      <c r="Y98" s="171"/>
      <c r="Z98" s="172"/>
      <c r="AA98" s="93" t="s">
        <v>53</v>
      </c>
      <c r="AB98" s="94"/>
      <c r="AC98" s="94"/>
      <c r="AD98" s="94"/>
      <c r="AE98" s="94"/>
      <c r="AF98" s="94"/>
      <c r="AG98" s="173">
        <f>(W103+$N$2*AG104)/W98*100+$Q$2+$T$2+$T$3+$T$5</f>
        <v>3.6052631578947367</v>
      </c>
      <c r="AH98" s="174"/>
      <c r="AI98" s="175"/>
    </row>
    <row r="99" spans="1:36" ht="12.75">
      <c r="A99" s="141"/>
      <c r="B99" s="125" t="s">
        <v>24</v>
      </c>
      <c r="C99" s="126"/>
      <c r="D99" s="126"/>
      <c r="E99" s="126"/>
      <c r="F99" s="161"/>
      <c r="G99" s="179">
        <v>1120</v>
      </c>
      <c r="H99" s="177"/>
      <c r="I99" s="177"/>
      <c r="J99" s="178"/>
      <c r="K99" s="176">
        <v>1400</v>
      </c>
      <c r="L99" s="177"/>
      <c r="M99" s="177"/>
      <c r="N99" s="178"/>
      <c r="O99" s="179">
        <v>1400</v>
      </c>
      <c r="P99" s="177"/>
      <c r="Q99" s="177"/>
      <c r="R99" s="178"/>
      <c r="S99" s="176">
        <v>1400</v>
      </c>
      <c r="T99" s="177"/>
      <c r="U99" s="177"/>
      <c r="V99" s="178"/>
      <c r="W99" s="153">
        <f t="shared" si="4"/>
        <v>5320</v>
      </c>
      <c r="X99" s="154"/>
      <c r="Y99" s="154"/>
      <c r="Z99" s="155"/>
      <c r="AA99" s="125" t="s">
        <v>54</v>
      </c>
      <c r="AB99" s="126"/>
      <c r="AC99" s="126"/>
      <c r="AD99" s="126"/>
      <c r="AE99" s="126"/>
      <c r="AF99" s="126"/>
      <c r="AG99" s="180">
        <f>(AG98-$L$2)*W98/100</f>
        <v>0</v>
      </c>
      <c r="AH99" s="180"/>
      <c r="AI99" s="181"/>
      <c r="AJ99" s="2" t="s">
        <v>284</v>
      </c>
    </row>
    <row r="100" spans="1:43" ht="12.75">
      <c r="A100" s="141"/>
      <c r="B100" s="125" t="s">
        <v>29</v>
      </c>
      <c r="C100" s="126"/>
      <c r="D100" s="126"/>
      <c r="E100" s="126"/>
      <c r="F100" s="161"/>
      <c r="G100" s="156">
        <f>IF(G98&lt;=G99,$N$2+G99/100*($Q$2+$T$2)+$AI107/$AG104+$AI109+IF(AI106&gt;0,AI106,0),$N$2+G99/100*$Q$2+$AI107/$AG104+$AI109+IF(AI106&gt;0,AI106,0))</f>
        <v>29</v>
      </c>
      <c r="H100" s="157"/>
      <c r="I100" s="157"/>
      <c r="J100" s="158"/>
      <c r="K100" s="156">
        <f>IF(K98&lt;=K99,$N$2+K99/100*($Q$2+$T$2)+$AI107/$AG104+$AI109,$N$2+K99/100*$Q$2+$AI107/$AG104+$AI109)</f>
        <v>27.599999999999998</v>
      </c>
      <c r="L100" s="157"/>
      <c r="M100" s="157"/>
      <c r="N100" s="158"/>
      <c r="O100" s="156">
        <f>IF(O98&lt;=O99,$N$2+O99/100*($Q$2+$T$2)+$AI107/$AG104+$AI109,$N$2+O99/100*$Q$2+$AI107/$AG104+$AI109)</f>
        <v>27.599999999999998</v>
      </c>
      <c r="P100" s="157"/>
      <c r="Q100" s="157"/>
      <c r="R100" s="158"/>
      <c r="S100" s="156">
        <f>IF(S98&lt;=S99,$N$2+S99/100*($Q$2+$T$2)+$AI107/$AG104+$AI109,$N$2+S99/100*$Q$2+$AI107/$AG104+$AI109)</f>
        <v>27.599999999999998</v>
      </c>
      <c r="T100" s="157"/>
      <c r="U100" s="157"/>
      <c r="V100" s="158"/>
      <c r="W100" s="153">
        <f t="shared" si="4"/>
        <v>111.79999999999998</v>
      </c>
      <c r="X100" s="154"/>
      <c r="Y100" s="154"/>
      <c r="Z100" s="155"/>
      <c r="AA100" s="125" t="s">
        <v>55</v>
      </c>
      <c r="AB100" s="126"/>
      <c r="AC100" s="126"/>
      <c r="AD100" s="126"/>
      <c r="AE100" s="126"/>
      <c r="AF100" s="126"/>
      <c r="AG100" s="122">
        <f>SUM(AJ101:AQ101)+AG99</f>
        <v>0</v>
      </c>
      <c r="AH100" s="123"/>
      <c r="AI100" s="124"/>
      <c r="AJ100" s="225">
        <f>$N$2+G98*($Q$2+$T$2+$T$3/$AG104)/100+$T$5*$W98/100</f>
        <v>29</v>
      </c>
      <c r="AK100" s="226"/>
      <c r="AL100" s="225">
        <f>$N$2+K98*($Q$2+$T$2+$T$3/$AG104)/100</f>
        <v>27.599999999999998</v>
      </c>
      <c r="AM100" s="226"/>
      <c r="AN100" s="225">
        <f>$N$2+O98*($Q$2+$T$2+$T$3/$AG104)/100</f>
        <v>27.599999999999998</v>
      </c>
      <c r="AO100" s="226"/>
      <c r="AP100" s="225">
        <f>$N$2+S98*($Q$2+$T$2+$T$3/$AG104)/100</f>
        <v>27.599999999999998</v>
      </c>
      <c r="AQ100" s="226"/>
    </row>
    <row r="101" spans="1:43" ht="12.75">
      <c r="A101" s="141"/>
      <c r="B101" s="125" t="s">
        <v>10</v>
      </c>
      <c r="C101" s="126"/>
      <c r="D101" s="126"/>
      <c r="E101" s="126"/>
      <c r="F101" s="161"/>
      <c r="G101" s="169">
        <v>20</v>
      </c>
      <c r="H101" s="167"/>
      <c r="I101" s="167"/>
      <c r="J101" s="168"/>
      <c r="K101" s="166">
        <v>15</v>
      </c>
      <c r="L101" s="167"/>
      <c r="M101" s="167"/>
      <c r="N101" s="168"/>
      <c r="O101" s="169">
        <v>10</v>
      </c>
      <c r="P101" s="167"/>
      <c r="Q101" s="167"/>
      <c r="R101" s="168"/>
      <c r="S101" s="166">
        <v>8</v>
      </c>
      <c r="T101" s="167"/>
      <c r="U101" s="167"/>
      <c r="V101" s="168"/>
      <c r="W101" s="153">
        <f t="shared" si="4"/>
        <v>53</v>
      </c>
      <c r="X101" s="154"/>
      <c r="Y101" s="154"/>
      <c r="Z101" s="155"/>
      <c r="AA101" s="125" t="s">
        <v>56</v>
      </c>
      <c r="AB101" s="126"/>
      <c r="AC101" s="126"/>
      <c r="AD101" s="126"/>
      <c r="AE101" s="126"/>
      <c r="AF101" s="126"/>
      <c r="AG101" s="134">
        <f>W108+AG100</f>
        <v>3.552713678800501E-15</v>
      </c>
      <c r="AH101" s="134"/>
      <c r="AI101" s="135"/>
      <c r="AJ101" s="225">
        <f>IF(AJ100&gt;G101,0,G101-AJ100)</f>
        <v>0</v>
      </c>
      <c r="AK101" s="226"/>
      <c r="AL101" s="225">
        <f>IF(AL100&gt;K101,0,K101-AL100)</f>
        <v>0</v>
      </c>
      <c r="AM101" s="226"/>
      <c r="AN101" s="225">
        <f>IF(AN100&gt;O101,0,O101-AN100)</f>
        <v>0</v>
      </c>
      <c r="AO101" s="226"/>
      <c r="AP101" s="225">
        <f>IF(AP100&gt;S101,0,S101-AP100)</f>
        <v>0</v>
      </c>
      <c r="AQ101" s="226"/>
    </row>
    <row r="102" spans="1:35" ht="13.5" thickBot="1">
      <c r="A102" s="141"/>
      <c r="B102" s="125" t="s">
        <v>58</v>
      </c>
      <c r="C102" s="126"/>
      <c r="D102" s="126"/>
      <c r="E102" s="126"/>
      <c r="F102" s="161"/>
      <c r="G102" s="156">
        <f>IF(G100&lt;G101,G101,G100)</f>
        <v>29</v>
      </c>
      <c r="H102" s="157"/>
      <c r="I102" s="157"/>
      <c r="J102" s="158"/>
      <c r="K102" s="160">
        <f>IF(K100&lt;K101,K101,K100)</f>
        <v>27.599999999999998</v>
      </c>
      <c r="L102" s="157"/>
      <c r="M102" s="157"/>
      <c r="N102" s="158"/>
      <c r="O102" s="156">
        <f>IF(O100&lt;O101,O101,O100)</f>
        <v>27.599999999999998</v>
      </c>
      <c r="P102" s="157"/>
      <c r="Q102" s="157"/>
      <c r="R102" s="158"/>
      <c r="S102" s="160">
        <f>IF(S100&lt;S101,S101,S100)</f>
        <v>27.599999999999998</v>
      </c>
      <c r="T102" s="157"/>
      <c r="U102" s="157"/>
      <c r="V102" s="158"/>
      <c r="W102" s="153">
        <f t="shared" si="4"/>
        <v>111.79999999999998</v>
      </c>
      <c r="X102" s="154"/>
      <c r="Y102" s="154"/>
      <c r="Z102" s="155"/>
      <c r="AA102" s="92" t="s">
        <v>57</v>
      </c>
      <c r="AB102" s="90"/>
      <c r="AC102" s="90"/>
      <c r="AD102" s="90"/>
      <c r="AE102" s="90"/>
      <c r="AF102" s="90"/>
      <c r="AG102" s="91">
        <f>-AG100+AG101-W109</f>
        <v>2.3092638912203253E-15</v>
      </c>
      <c r="AH102" s="91"/>
      <c r="AI102" s="85"/>
    </row>
    <row r="103" spans="1:35" ht="12.75">
      <c r="A103" s="141"/>
      <c r="B103" s="125" t="s">
        <v>41</v>
      </c>
      <c r="C103" s="126"/>
      <c r="D103" s="126"/>
      <c r="E103" s="126"/>
      <c r="F103" s="161"/>
      <c r="G103" s="156">
        <v>20</v>
      </c>
      <c r="H103" s="157"/>
      <c r="I103" s="157"/>
      <c r="J103" s="158"/>
      <c r="K103" s="160">
        <v>20</v>
      </c>
      <c r="L103" s="157"/>
      <c r="M103" s="157"/>
      <c r="N103" s="158"/>
      <c r="O103" s="156">
        <v>20</v>
      </c>
      <c r="P103" s="157"/>
      <c r="Q103" s="157"/>
      <c r="R103" s="158"/>
      <c r="S103" s="160">
        <v>20</v>
      </c>
      <c r="T103" s="157"/>
      <c r="U103" s="157"/>
      <c r="V103" s="158"/>
      <c r="W103" s="153">
        <f t="shared" si="4"/>
        <v>80</v>
      </c>
      <c r="X103" s="154"/>
      <c r="Y103" s="154"/>
      <c r="Z103" s="155"/>
      <c r="AA103" s="86" t="s">
        <v>59</v>
      </c>
      <c r="AB103" s="87"/>
      <c r="AC103" s="87"/>
      <c r="AD103" s="87"/>
      <c r="AE103" s="87"/>
      <c r="AF103" s="87"/>
      <c r="AG103" s="88">
        <f>AG100+AG102</f>
        <v>2.3092638912203253E-15</v>
      </c>
      <c r="AH103" s="89"/>
      <c r="AI103" s="84"/>
    </row>
    <row r="104" spans="1:35" ht="12.75">
      <c r="A104" s="141"/>
      <c r="B104" s="125" t="s">
        <v>42</v>
      </c>
      <c r="C104" s="126"/>
      <c r="D104" s="126"/>
      <c r="E104" s="126"/>
      <c r="F104" s="161"/>
      <c r="G104" s="169">
        <v>20</v>
      </c>
      <c r="H104" s="167"/>
      <c r="I104" s="167"/>
      <c r="J104" s="168"/>
      <c r="K104" s="166">
        <v>20</v>
      </c>
      <c r="L104" s="167"/>
      <c r="M104" s="167"/>
      <c r="N104" s="168"/>
      <c r="O104" s="169">
        <v>20</v>
      </c>
      <c r="P104" s="167"/>
      <c r="Q104" s="167"/>
      <c r="R104" s="168"/>
      <c r="S104" s="166">
        <v>20</v>
      </c>
      <c r="T104" s="167"/>
      <c r="U104" s="167"/>
      <c r="V104" s="168"/>
      <c r="W104" s="153">
        <f t="shared" si="4"/>
        <v>80</v>
      </c>
      <c r="X104" s="154"/>
      <c r="Y104" s="154"/>
      <c r="Z104" s="159"/>
      <c r="AA104" s="102" t="s">
        <v>279</v>
      </c>
      <c r="AB104" s="103"/>
      <c r="AC104" s="103"/>
      <c r="AD104" s="103"/>
      <c r="AE104" s="103"/>
      <c r="AF104" s="103"/>
      <c r="AG104" s="95">
        <v>4</v>
      </c>
      <c r="AH104" s="95"/>
      <c r="AI104" s="95"/>
    </row>
    <row r="105" spans="1:35" ht="12.75">
      <c r="A105" s="141"/>
      <c r="B105" s="125" t="s">
        <v>43</v>
      </c>
      <c r="C105" s="126"/>
      <c r="D105" s="126"/>
      <c r="E105" s="126"/>
      <c r="F105" s="161"/>
      <c r="G105" s="165">
        <f>G103-G104</f>
        <v>0</v>
      </c>
      <c r="H105" s="163"/>
      <c r="I105" s="163"/>
      <c r="J105" s="164"/>
      <c r="K105" s="162">
        <f>K103-K104</f>
        <v>0</v>
      </c>
      <c r="L105" s="163"/>
      <c r="M105" s="163"/>
      <c r="N105" s="164"/>
      <c r="O105" s="165">
        <f>O103-O104</f>
        <v>0</v>
      </c>
      <c r="P105" s="163"/>
      <c r="Q105" s="163"/>
      <c r="R105" s="164"/>
      <c r="S105" s="162">
        <f>S103-S104</f>
        <v>0</v>
      </c>
      <c r="T105" s="163"/>
      <c r="U105" s="163"/>
      <c r="V105" s="164"/>
      <c r="W105" s="153">
        <f t="shared" si="4"/>
        <v>0</v>
      </c>
      <c r="X105" s="154"/>
      <c r="Y105" s="154"/>
      <c r="Z105" s="159"/>
      <c r="AA105" s="126">
        <f>W99*$L$2/100-AI110</f>
        <v>191.8</v>
      </c>
      <c r="AB105" s="126"/>
      <c r="AC105" s="126"/>
      <c r="AD105" s="126"/>
      <c r="AE105" s="126"/>
      <c r="AF105" s="126"/>
      <c r="AG105" s="133"/>
      <c r="AH105" s="133"/>
      <c r="AI105" s="133"/>
    </row>
    <row r="106" spans="1:38" ht="12.75">
      <c r="A106" s="141"/>
      <c r="B106" s="125" t="s">
        <v>30</v>
      </c>
      <c r="C106" s="126"/>
      <c r="D106" s="126"/>
      <c r="E106" s="126"/>
      <c r="F106" s="161"/>
      <c r="G106" s="156">
        <f>G99*$L$2/100-AA110</f>
        <v>40.37894736842105</v>
      </c>
      <c r="H106" s="157"/>
      <c r="I106" s="157"/>
      <c r="J106" s="158"/>
      <c r="K106" s="156">
        <f>K99*$L$2/100-AC110</f>
        <v>50.473684210526315</v>
      </c>
      <c r="L106" s="157"/>
      <c r="M106" s="157"/>
      <c r="N106" s="158"/>
      <c r="O106" s="156">
        <f>O99*$L$2/100-AE110</f>
        <v>50.473684210526315</v>
      </c>
      <c r="P106" s="157"/>
      <c r="Q106" s="157"/>
      <c r="R106" s="158"/>
      <c r="S106" s="156">
        <f>S99*$L$2/100-AG110</f>
        <v>50.473684210526315</v>
      </c>
      <c r="T106" s="157"/>
      <c r="U106" s="157"/>
      <c r="V106" s="158"/>
      <c r="W106" s="153">
        <f t="shared" si="4"/>
        <v>191.8</v>
      </c>
      <c r="X106" s="154"/>
      <c r="Y106" s="154"/>
      <c r="Z106" s="159"/>
      <c r="AA106" s="101">
        <f>IF(G99&lt;G98,$T$5*(G99-G98)*$L$3/100,$T$5*G99/100)</f>
        <v>1.12</v>
      </c>
      <c r="AB106" s="101"/>
      <c r="AC106" s="101">
        <f>IF(K99&lt;K98,$T$5*(K99-K98)*$L$3/100,$T$5*K99/100)</f>
        <v>1.4</v>
      </c>
      <c r="AD106" s="101"/>
      <c r="AE106" s="101">
        <f>IF(O99&lt;O98,$T$5*(O99-O98)*$L$3/100,$T$5*O99/100)</f>
        <v>1.4</v>
      </c>
      <c r="AF106" s="101"/>
      <c r="AG106" s="101">
        <f>IF(S99&lt;S98,$T$5*(S99-S98)*$L$3/100,$T$5*S99/100)</f>
        <v>1.4</v>
      </c>
      <c r="AH106" s="101"/>
      <c r="AI106" s="97">
        <f>SUM(AA106:AH106)</f>
        <v>5.32</v>
      </c>
      <c r="AJ106" s="98"/>
      <c r="AK106" s="98"/>
      <c r="AL106" s="2" t="s">
        <v>277</v>
      </c>
    </row>
    <row r="107" spans="1:38" ht="12.75">
      <c r="A107" s="141"/>
      <c r="B107" s="125" t="s">
        <v>283</v>
      </c>
      <c r="C107" s="126"/>
      <c r="D107" s="126"/>
      <c r="E107" s="126"/>
      <c r="F107" s="161"/>
      <c r="G107" s="156">
        <f>G106-G103-G102+$AI109</f>
        <v>-8.621052631578948</v>
      </c>
      <c r="H107" s="157"/>
      <c r="I107" s="157"/>
      <c r="J107" s="158"/>
      <c r="K107" s="156">
        <f>K106-K103-K102+$AI109</f>
        <v>2.873684210526317</v>
      </c>
      <c r="L107" s="157"/>
      <c r="M107" s="157"/>
      <c r="N107" s="158"/>
      <c r="O107" s="156">
        <f>O106-O103-O102+$AI109</f>
        <v>2.873684210526317</v>
      </c>
      <c r="P107" s="157"/>
      <c r="Q107" s="157"/>
      <c r="R107" s="158"/>
      <c r="S107" s="156">
        <f>S106-S103-S102+$AI109</f>
        <v>2.873684210526317</v>
      </c>
      <c r="T107" s="157"/>
      <c r="U107" s="157"/>
      <c r="V107" s="158"/>
      <c r="W107" s="153">
        <f t="shared" si="4"/>
        <v>3.552713678800501E-15</v>
      </c>
      <c r="X107" s="154"/>
      <c r="Y107" s="154"/>
      <c r="Z107" s="159"/>
      <c r="AA107" s="101">
        <f>IF(G99&lt;G98,0,$T$3*G99/100)</f>
        <v>0</v>
      </c>
      <c r="AB107" s="101"/>
      <c r="AC107" s="101">
        <f>IF(K99&lt;K98,0,$T$3*K99/100)</f>
        <v>0</v>
      </c>
      <c r="AD107" s="101"/>
      <c r="AE107" s="101">
        <f>IF(O99&lt;O98,0,$T$3*O99/100)</f>
        <v>0</v>
      </c>
      <c r="AF107" s="101"/>
      <c r="AG107" s="101">
        <f>IF(S99&lt;S98,0,$T$3*S99/100)</f>
        <v>0</v>
      </c>
      <c r="AH107" s="101"/>
      <c r="AI107" s="97">
        <f>SUM(AA107:AH107)</f>
        <v>0</v>
      </c>
      <c r="AJ107" s="98"/>
      <c r="AK107" s="98"/>
      <c r="AL107" s="2" t="s">
        <v>248</v>
      </c>
    </row>
    <row r="108" spans="1:38" ht="12.75">
      <c r="A108" s="141"/>
      <c r="B108" s="125" t="s">
        <v>45</v>
      </c>
      <c r="C108" s="126"/>
      <c r="D108" s="126"/>
      <c r="E108" s="126"/>
      <c r="F108" s="161"/>
      <c r="G108" s="156">
        <f>G107+G105</f>
        <v>-8.621052631578948</v>
      </c>
      <c r="H108" s="157"/>
      <c r="I108" s="157"/>
      <c r="J108" s="158"/>
      <c r="K108" s="160">
        <f>K107+K105</f>
        <v>2.873684210526317</v>
      </c>
      <c r="L108" s="157"/>
      <c r="M108" s="157"/>
      <c r="N108" s="158"/>
      <c r="O108" s="156">
        <f>O107+O105</f>
        <v>2.873684210526317</v>
      </c>
      <c r="P108" s="157"/>
      <c r="Q108" s="157"/>
      <c r="R108" s="158"/>
      <c r="S108" s="160">
        <f>S107+S105</f>
        <v>2.873684210526317</v>
      </c>
      <c r="T108" s="157"/>
      <c r="U108" s="157"/>
      <c r="V108" s="158"/>
      <c r="W108" s="153">
        <f t="shared" si="4"/>
        <v>3.552713678800501E-15</v>
      </c>
      <c r="X108" s="154"/>
      <c r="Y108" s="154"/>
      <c r="Z108" s="155"/>
      <c r="AA108" s="101">
        <f>IF(G99&lt;G98,0,$T$4*G99/100)</f>
        <v>0</v>
      </c>
      <c r="AB108" s="101"/>
      <c r="AC108" s="101">
        <f>IF(K99&lt;K98,0,$T$4*K99/100)</f>
        <v>0</v>
      </c>
      <c r="AD108" s="101"/>
      <c r="AE108" s="101">
        <f>IF(O99&lt;O98,0,$T$4*O99/100)</f>
        <v>0</v>
      </c>
      <c r="AF108" s="101"/>
      <c r="AG108" s="101">
        <f>IF(S99&lt;S98,0,$T$4*S99/100)</f>
        <v>0</v>
      </c>
      <c r="AH108" s="101"/>
      <c r="AI108" s="97">
        <f>SUM(AA108:AH108)</f>
        <v>0</v>
      </c>
      <c r="AJ108" s="98"/>
      <c r="AK108" s="98"/>
      <c r="AL108" s="2" t="s">
        <v>281</v>
      </c>
    </row>
    <row r="109" spans="1:38" ht="12.75">
      <c r="A109" s="141"/>
      <c r="B109" s="194" t="s">
        <v>26</v>
      </c>
      <c r="C109" s="98"/>
      <c r="D109" s="98"/>
      <c r="E109" s="98"/>
      <c r="F109" s="195"/>
      <c r="G109" s="196">
        <f>$AG101/100*$AL$3</f>
        <v>4.440892098500626E-16</v>
      </c>
      <c r="H109" s="197"/>
      <c r="I109" s="197"/>
      <c r="J109" s="198"/>
      <c r="K109" s="137">
        <f>$AG101/100*$AL$4</f>
        <v>2.6645352591003756E-16</v>
      </c>
      <c r="L109" s="138"/>
      <c r="M109" s="138"/>
      <c r="N109" s="139"/>
      <c r="O109" s="137">
        <f>$AG101/100*$AL$4</f>
        <v>2.6645352591003756E-16</v>
      </c>
      <c r="P109" s="138"/>
      <c r="Q109" s="138"/>
      <c r="R109" s="139"/>
      <c r="S109" s="137">
        <f>$AG101/100*$AL$4</f>
        <v>2.6645352591003756E-16</v>
      </c>
      <c r="T109" s="138"/>
      <c r="U109" s="138"/>
      <c r="V109" s="139"/>
      <c r="W109" s="153">
        <f t="shared" si="4"/>
        <v>1.2434497875801754E-15</v>
      </c>
      <c r="X109" s="154"/>
      <c r="Y109" s="154"/>
      <c r="Z109" s="155"/>
      <c r="AI109" s="224">
        <f>'ЦФУ Продажи'!AB$59</f>
        <v>0</v>
      </c>
      <c r="AJ109" s="224"/>
      <c r="AK109" s="224"/>
      <c r="AL109" s="2" t="s">
        <v>280</v>
      </c>
    </row>
    <row r="110" spans="1:38" ht="13.5" thickBot="1">
      <c r="A110" s="142"/>
      <c r="B110" s="191" t="s">
        <v>28</v>
      </c>
      <c r="C110" s="192"/>
      <c r="D110" s="192"/>
      <c r="E110" s="192"/>
      <c r="F110" s="193"/>
      <c r="G110" s="149">
        <f>IF(G109&lt;0,G102,G102+G109)</f>
        <v>29</v>
      </c>
      <c r="H110" s="147"/>
      <c r="I110" s="147"/>
      <c r="J110" s="148"/>
      <c r="K110" s="146">
        <f>IF(K109&lt;0,K102,K102+K109)</f>
        <v>27.599999999999998</v>
      </c>
      <c r="L110" s="147"/>
      <c r="M110" s="147"/>
      <c r="N110" s="148"/>
      <c r="O110" s="149">
        <f>IF(O109&lt;0,O102,O102+O109)</f>
        <v>27.599999999999998</v>
      </c>
      <c r="P110" s="147"/>
      <c r="Q110" s="147"/>
      <c r="R110" s="148"/>
      <c r="S110" s="146">
        <f>IF(S109&lt;0,S102,S102+S109)</f>
        <v>27.599999999999998</v>
      </c>
      <c r="T110" s="147"/>
      <c r="U110" s="147"/>
      <c r="V110" s="148"/>
      <c r="W110" s="150">
        <f t="shared" si="4"/>
        <v>111.79999999999998</v>
      </c>
      <c r="X110" s="151"/>
      <c r="Y110" s="151"/>
      <c r="Z110" s="152"/>
      <c r="AA110" s="101">
        <f>IF($AI106&gt;0,IF(AA106&gt;=0,0,G99*($T$2+$T$3+$T$5)/100-AA106),IF(G99&lt;G98,G99*($T$2+$T$3+$T$5)/100,AA106))</f>
        <v>0</v>
      </c>
      <c r="AB110" s="101"/>
      <c r="AC110" s="101">
        <f>IF($AI106&gt;0,IF(AC106&gt;=0,0,K99*($T$2+$T$3+$T$4+$T$5)/100-AC106),IF(K99&lt;K98,K99*($T$2+$T$3+$T$4+$T$5)/100,AC106))</f>
        <v>0</v>
      </c>
      <c r="AD110" s="101"/>
      <c r="AE110" s="101">
        <f>IF($AI106&gt;0,IF(AE106&gt;=0,0,O99*($T$2+$T$3+$T$4+$T$5)/100-AE106),IF(O99&lt;O98,O99*($T$2+$T$3+$T$4+$T$5)/100,AE106))</f>
        <v>0</v>
      </c>
      <c r="AF110" s="101"/>
      <c r="AG110" s="101">
        <f>IF($AI106&gt;0,IF(AG106&gt;=0,0,S99*($T$2+$T$3+$T$4+$T$5)/100-AG106),IF(S99&lt;S98,S99*($T$2+$T$3+$T$4+$T$5)/100,AG106))</f>
        <v>0</v>
      </c>
      <c r="AH110" s="101"/>
      <c r="AI110" s="97">
        <f>SUM(AA110:AH110)</f>
        <v>0</v>
      </c>
      <c r="AJ110" s="98"/>
      <c r="AK110" s="98"/>
      <c r="AL110" s="2" t="s">
        <v>218</v>
      </c>
    </row>
    <row r="111" spans="1:35" ht="12.75" customHeight="1">
      <c r="A111" s="143" t="s">
        <v>69</v>
      </c>
      <c r="B111" s="93" t="s">
        <v>23</v>
      </c>
      <c r="C111" s="94"/>
      <c r="D111" s="94"/>
      <c r="E111" s="94"/>
      <c r="F111" s="199"/>
      <c r="G111" s="185">
        <v>1120</v>
      </c>
      <c r="H111" s="183"/>
      <c r="I111" s="183"/>
      <c r="J111" s="184"/>
      <c r="K111" s="182">
        <v>1400</v>
      </c>
      <c r="L111" s="183"/>
      <c r="M111" s="183"/>
      <c r="N111" s="184"/>
      <c r="O111" s="185">
        <v>1400</v>
      </c>
      <c r="P111" s="183"/>
      <c r="Q111" s="183"/>
      <c r="R111" s="184"/>
      <c r="S111" s="182">
        <v>1400</v>
      </c>
      <c r="T111" s="183"/>
      <c r="U111" s="183"/>
      <c r="V111" s="184"/>
      <c r="W111" s="170">
        <f aca="true" t="shared" si="5" ref="W111:W136">G111+K111+O111+S111</f>
        <v>5320</v>
      </c>
      <c r="X111" s="171"/>
      <c r="Y111" s="171"/>
      <c r="Z111" s="172"/>
      <c r="AA111" s="93" t="s">
        <v>53</v>
      </c>
      <c r="AB111" s="94"/>
      <c r="AC111" s="94"/>
      <c r="AD111" s="94"/>
      <c r="AE111" s="94"/>
      <c r="AF111" s="94"/>
      <c r="AG111" s="173">
        <f>(W116+$N$2*AG117)/W111*100+$Q$2+$T$2+$T$3+$T$5</f>
        <v>3.6052631578947367</v>
      </c>
      <c r="AH111" s="174"/>
      <c r="AI111" s="175"/>
    </row>
    <row r="112" spans="1:36" ht="12.75">
      <c r="A112" s="144"/>
      <c r="B112" s="125" t="s">
        <v>24</v>
      </c>
      <c r="C112" s="126"/>
      <c r="D112" s="126"/>
      <c r="E112" s="126"/>
      <c r="F112" s="161"/>
      <c r="G112" s="179">
        <v>1120</v>
      </c>
      <c r="H112" s="177"/>
      <c r="I112" s="177"/>
      <c r="J112" s="178"/>
      <c r="K112" s="176">
        <v>1400</v>
      </c>
      <c r="L112" s="177"/>
      <c r="M112" s="177"/>
      <c r="N112" s="178"/>
      <c r="O112" s="179">
        <v>1400</v>
      </c>
      <c r="P112" s="177"/>
      <c r="Q112" s="177"/>
      <c r="R112" s="178"/>
      <c r="S112" s="176">
        <v>1400</v>
      </c>
      <c r="T112" s="177"/>
      <c r="U112" s="177"/>
      <c r="V112" s="178"/>
      <c r="W112" s="153">
        <f t="shared" si="5"/>
        <v>5320</v>
      </c>
      <c r="X112" s="154"/>
      <c r="Y112" s="154"/>
      <c r="Z112" s="155"/>
      <c r="AA112" s="125" t="s">
        <v>54</v>
      </c>
      <c r="AB112" s="126"/>
      <c r="AC112" s="126"/>
      <c r="AD112" s="126"/>
      <c r="AE112" s="126"/>
      <c r="AF112" s="126"/>
      <c r="AG112" s="180">
        <f>(AG111-$L$2)*W111/100</f>
        <v>0</v>
      </c>
      <c r="AH112" s="180"/>
      <c r="AI112" s="181"/>
      <c r="AJ112" s="2" t="s">
        <v>284</v>
      </c>
    </row>
    <row r="113" spans="1:43" ht="12.75">
      <c r="A113" s="144"/>
      <c r="B113" s="125" t="s">
        <v>29</v>
      </c>
      <c r="C113" s="126"/>
      <c r="D113" s="126"/>
      <c r="E113" s="126"/>
      <c r="F113" s="161"/>
      <c r="G113" s="156">
        <f>IF(G111&lt;=G112,$N$2+G112/100*($Q$2+$T$2)+$AI120/$AG117+$AI122+IF(AI119&gt;0,AI119,0),$N$2+G112/100*$Q$2+$AI120/$AG117+$AI122+IF(AI119&gt;0,AI119,0))</f>
        <v>29</v>
      </c>
      <c r="H113" s="157"/>
      <c r="I113" s="157"/>
      <c r="J113" s="158"/>
      <c r="K113" s="156">
        <f>IF(K111&lt;=K112,$N$2+K112/100*($Q$2+$T$2)+$AI120/$AG117+$AI122,$N$2+K112/100*$Q$2+$AI120/$AG117+$AI122)</f>
        <v>27.599999999999998</v>
      </c>
      <c r="L113" s="157"/>
      <c r="M113" s="157"/>
      <c r="N113" s="158"/>
      <c r="O113" s="156">
        <f>IF(O111&lt;=O112,$N$2+O112/100*($Q$2+$T$2)+$AI120/$AG117+$AI122,$N$2+O112/100*$Q$2+$AI120/$AG117+$AI122)</f>
        <v>27.599999999999998</v>
      </c>
      <c r="P113" s="157"/>
      <c r="Q113" s="157"/>
      <c r="R113" s="158"/>
      <c r="S113" s="156">
        <f>IF(S111&lt;=S112,$N$2+S112/100*($Q$2+$T$2)+$AI120/$AG117+$AI122,$N$2+S112/100*$Q$2+$AI120/$AG117+$AI122)</f>
        <v>27.599999999999998</v>
      </c>
      <c r="T113" s="157"/>
      <c r="U113" s="157"/>
      <c r="V113" s="158"/>
      <c r="W113" s="153">
        <f t="shared" si="5"/>
        <v>111.79999999999998</v>
      </c>
      <c r="X113" s="154"/>
      <c r="Y113" s="154"/>
      <c r="Z113" s="155"/>
      <c r="AA113" s="125" t="s">
        <v>55</v>
      </c>
      <c r="AB113" s="126"/>
      <c r="AC113" s="126"/>
      <c r="AD113" s="126"/>
      <c r="AE113" s="126"/>
      <c r="AF113" s="126"/>
      <c r="AG113" s="122">
        <f>SUM(AJ114:AQ114)+AG112</f>
        <v>0</v>
      </c>
      <c r="AH113" s="123"/>
      <c r="AI113" s="124"/>
      <c r="AJ113" s="225">
        <f>$N$2+G111*($Q$2+$T$2+$T$3/$AG117)/100+$T$5*$W111/100</f>
        <v>29</v>
      </c>
      <c r="AK113" s="226"/>
      <c r="AL113" s="225">
        <f>$N$2+K111*($Q$2+$T$2+$T$3/$AG117)/100</f>
        <v>27.599999999999998</v>
      </c>
      <c r="AM113" s="226"/>
      <c r="AN113" s="225">
        <f>$N$2+O111*($Q$2+$T$2+$T$3/$AG117)/100</f>
        <v>27.599999999999998</v>
      </c>
      <c r="AO113" s="226"/>
      <c r="AP113" s="225">
        <f>$N$2+S111*($Q$2+$T$2+$T$3/$AG117)/100</f>
        <v>27.599999999999998</v>
      </c>
      <c r="AQ113" s="226"/>
    </row>
    <row r="114" spans="1:43" ht="12.75">
      <c r="A114" s="144"/>
      <c r="B114" s="125" t="s">
        <v>10</v>
      </c>
      <c r="C114" s="126"/>
      <c r="D114" s="126"/>
      <c r="E114" s="126"/>
      <c r="F114" s="161"/>
      <c r="G114" s="169">
        <v>20</v>
      </c>
      <c r="H114" s="167"/>
      <c r="I114" s="167"/>
      <c r="J114" s="168"/>
      <c r="K114" s="166">
        <v>15</v>
      </c>
      <c r="L114" s="167"/>
      <c r="M114" s="167"/>
      <c r="N114" s="168"/>
      <c r="O114" s="169">
        <v>10</v>
      </c>
      <c r="P114" s="167"/>
      <c r="Q114" s="167"/>
      <c r="R114" s="168"/>
      <c r="S114" s="166">
        <v>8</v>
      </c>
      <c r="T114" s="167"/>
      <c r="U114" s="167"/>
      <c r="V114" s="168"/>
      <c r="W114" s="153">
        <f t="shared" si="5"/>
        <v>53</v>
      </c>
      <c r="X114" s="154"/>
      <c r="Y114" s="154"/>
      <c r="Z114" s="155"/>
      <c r="AA114" s="125" t="s">
        <v>56</v>
      </c>
      <c r="AB114" s="126"/>
      <c r="AC114" s="126"/>
      <c r="AD114" s="126"/>
      <c r="AE114" s="126"/>
      <c r="AF114" s="126"/>
      <c r="AG114" s="134">
        <f>W121+AG113</f>
        <v>3.552713678800501E-15</v>
      </c>
      <c r="AH114" s="134"/>
      <c r="AI114" s="135"/>
      <c r="AJ114" s="225">
        <f>IF(AJ113&gt;G114,0,G114-AJ113)</f>
        <v>0</v>
      </c>
      <c r="AK114" s="226"/>
      <c r="AL114" s="225">
        <f>IF(AL113&gt;K114,0,K114-AL113)</f>
        <v>0</v>
      </c>
      <c r="AM114" s="226"/>
      <c r="AN114" s="225">
        <f>IF(AN113&gt;O114,0,O114-AN113)</f>
        <v>0</v>
      </c>
      <c r="AO114" s="226"/>
      <c r="AP114" s="225">
        <f>IF(AP113&gt;S114,0,S114-AP113)</f>
        <v>0</v>
      </c>
      <c r="AQ114" s="226"/>
    </row>
    <row r="115" spans="1:35" ht="13.5" thickBot="1">
      <c r="A115" s="144"/>
      <c r="B115" s="125" t="s">
        <v>58</v>
      </c>
      <c r="C115" s="126"/>
      <c r="D115" s="126"/>
      <c r="E115" s="126"/>
      <c r="F115" s="161"/>
      <c r="G115" s="156">
        <f>IF(G113&lt;G114,G114,G113)</f>
        <v>29</v>
      </c>
      <c r="H115" s="157"/>
      <c r="I115" s="157"/>
      <c r="J115" s="158"/>
      <c r="K115" s="160">
        <f>IF(K113&lt;K114,K114,K113)</f>
        <v>27.599999999999998</v>
      </c>
      <c r="L115" s="157"/>
      <c r="M115" s="157"/>
      <c r="N115" s="158"/>
      <c r="O115" s="156">
        <f>IF(O113&lt;O114,O114,O113)</f>
        <v>27.599999999999998</v>
      </c>
      <c r="P115" s="157"/>
      <c r="Q115" s="157"/>
      <c r="R115" s="158"/>
      <c r="S115" s="160">
        <f>IF(S113&lt;S114,S114,S113)</f>
        <v>27.599999999999998</v>
      </c>
      <c r="T115" s="157"/>
      <c r="U115" s="157"/>
      <c r="V115" s="158"/>
      <c r="W115" s="153">
        <f t="shared" si="5"/>
        <v>111.79999999999998</v>
      </c>
      <c r="X115" s="154"/>
      <c r="Y115" s="154"/>
      <c r="Z115" s="155"/>
      <c r="AA115" s="92" t="s">
        <v>57</v>
      </c>
      <c r="AB115" s="90"/>
      <c r="AC115" s="90"/>
      <c r="AD115" s="90"/>
      <c r="AE115" s="90"/>
      <c r="AF115" s="90"/>
      <c r="AG115" s="91">
        <f>-AG113+AG114-W122</f>
        <v>2.3092638912203253E-15</v>
      </c>
      <c r="AH115" s="91"/>
      <c r="AI115" s="85"/>
    </row>
    <row r="116" spans="1:35" ht="12.75">
      <c r="A116" s="144"/>
      <c r="B116" s="125" t="s">
        <v>41</v>
      </c>
      <c r="C116" s="126"/>
      <c r="D116" s="126"/>
      <c r="E116" s="126"/>
      <c r="F116" s="161"/>
      <c r="G116" s="156">
        <v>20</v>
      </c>
      <c r="H116" s="157"/>
      <c r="I116" s="157"/>
      <c r="J116" s="158"/>
      <c r="K116" s="160">
        <v>20</v>
      </c>
      <c r="L116" s="157"/>
      <c r="M116" s="157"/>
      <c r="N116" s="158"/>
      <c r="O116" s="156">
        <v>20</v>
      </c>
      <c r="P116" s="157"/>
      <c r="Q116" s="157"/>
      <c r="R116" s="158"/>
      <c r="S116" s="160">
        <v>20</v>
      </c>
      <c r="T116" s="157"/>
      <c r="U116" s="157"/>
      <c r="V116" s="158"/>
      <c r="W116" s="153">
        <f t="shared" si="5"/>
        <v>80</v>
      </c>
      <c r="X116" s="154"/>
      <c r="Y116" s="154"/>
      <c r="Z116" s="155"/>
      <c r="AA116" s="86" t="s">
        <v>59</v>
      </c>
      <c r="AB116" s="87"/>
      <c r="AC116" s="87"/>
      <c r="AD116" s="87"/>
      <c r="AE116" s="87"/>
      <c r="AF116" s="87"/>
      <c r="AG116" s="88">
        <f>AG113+AG115</f>
        <v>2.3092638912203253E-15</v>
      </c>
      <c r="AH116" s="89"/>
      <c r="AI116" s="84"/>
    </row>
    <row r="117" spans="1:35" ht="12.75">
      <c r="A117" s="144"/>
      <c r="B117" s="125" t="s">
        <v>42</v>
      </c>
      <c r="C117" s="126"/>
      <c r="D117" s="126"/>
      <c r="E117" s="126"/>
      <c r="F117" s="161"/>
      <c r="G117" s="169">
        <v>20</v>
      </c>
      <c r="H117" s="167"/>
      <c r="I117" s="167"/>
      <c r="J117" s="168"/>
      <c r="K117" s="166">
        <v>20</v>
      </c>
      <c r="L117" s="167"/>
      <c r="M117" s="167"/>
      <c r="N117" s="168"/>
      <c r="O117" s="169">
        <v>20</v>
      </c>
      <c r="P117" s="167"/>
      <c r="Q117" s="167"/>
      <c r="R117" s="168"/>
      <c r="S117" s="166">
        <v>20</v>
      </c>
      <c r="T117" s="167"/>
      <c r="U117" s="167"/>
      <c r="V117" s="168"/>
      <c r="W117" s="153">
        <f t="shared" si="5"/>
        <v>80</v>
      </c>
      <c r="X117" s="154"/>
      <c r="Y117" s="154"/>
      <c r="Z117" s="159"/>
      <c r="AA117" s="102" t="s">
        <v>279</v>
      </c>
      <c r="AB117" s="103"/>
      <c r="AC117" s="103"/>
      <c r="AD117" s="103"/>
      <c r="AE117" s="103"/>
      <c r="AF117" s="103"/>
      <c r="AG117" s="95">
        <v>4</v>
      </c>
      <c r="AH117" s="95"/>
      <c r="AI117" s="95"/>
    </row>
    <row r="118" spans="1:35" ht="12.75">
      <c r="A118" s="144"/>
      <c r="B118" s="125" t="s">
        <v>43</v>
      </c>
      <c r="C118" s="126"/>
      <c r="D118" s="126"/>
      <c r="E118" s="126"/>
      <c r="F118" s="161"/>
      <c r="G118" s="165">
        <f>G116-G117</f>
        <v>0</v>
      </c>
      <c r="H118" s="163"/>
      <c r="I118" s="163"/>
      <c r="J118" s="164"/>
      <c r="K118" s="162">
        <f>K116-K117</f>
        <v>0</v>
      </c>
      <c r="L118" s="163"/>
      <c r="M118" s="163"/>
      <c r="N118" s="164"/>
      <c r="O118" s="165">
        <f>O116-O117</f>
        <v>0</v>
      </c>
      <c r="P118" s="163"/>
      <c r="Q118" s="163"/>
      <c r="R118" s="164"/>
      <c r="S118" s="162">
        <f>S116-S117</f>
        <v>0</v>
      </c>
      <c r="T118" s="163"/>
      <c r="U118" s="163"/>
      <c r="V118" s="164"/>
      <c r="W118" s="153">
        <f t="shared" si="5"/>
        <v>0</v>
      </c>
      <c r="X118" s="154"/>
      <c r="Y118" s="154"/>
      <c r="Z118" s="159"/>
      <c r="AA118" s="126">
        <f>W112*$L$2/100-AI123</f>
        <v>191.8</v>
      </c>
      <c r="AB118" s="126"/>
      <c r="AC118" s="126"/>
      <c r="AD118" s="126"/>
      <c r="AE118" s="126"/>
      <c r="AF118" s="126"/>
      <c r="AG118" s="133"/>
      <c r="AH118" s="133"/>
      <c r="AI118" s="133"/>
    </row>
    <row r="119" spans="1:38" ht="12.75">
      <c r="A119" s="144"/>
      <c r="B119" s="125" t="s">
        <v>30</v>
      </c>
      <c r="C119" s="126"/>
      <c r="D119" s="126"/>
      <c r="E119" s="126"/>
      <c r="F119" s="161"/>
      <c r="G119" s="156">
        <f>G112*$L$2/100-AA123</f>
        <v>40.37894736842105</v>
      </c>
      <c r="H119" s="157"/>
      <c r="I119" s="157"/>
      <c r="J119" s="158"/>
      <c r="K119" s="156">
        <f>K112*$L$2/100-AC123</f>
        <v>50.473684210526315</v>
      </c>
      <c r="L119" s="157"/>
      <c r="M119" s="157"/>
      <c r="N119" s="158"/>
      <c r="O119" s="156">
        <f>O112*$L$2/100-AE123</f>
        <v>50.473684210526315</v>
      </c>
      <c r="P119" s="157"/>
      <c r="Q119" s="157"/>
      <c r="R119" s="158"/>
      <c r="S119" s="156">
        <f>S112*$L$2/100-AG123</f>
        <v>50.473684210526315</v>
      </c>
      <c r="T119" s="157"/>
      <c r="U119" s="157"/>
      <c r="V119" s="158"/>
      <c r="W119" s="153">
        <f t="shared" si="5"/>
        <v>191.8</v>
      </c>
      <c r="X119" s="154"/>
      <c r="Y119" s="154"/>
      <c r="Z119" s="159"/>
      <c r="AA119" s="101">
        <f>IF(G112&lt;G111,$T$5*(G112-G111)*$L$3/100,$T$5*G112/100)</f>
        <v>1.12</v>
      </c>
      <c r="AB119" s="101"/>
      <c r="AC119" s="101">
        <f>IF(K112&lt;K111,$T$5*(K112-K111)*$L$3/100,$T$5*K112/100)</f>
        <v>1.4</v>
      </c>
      <c r="AD119" s="101"/>
      <c r="AE119" s="101">
        <f>IF(O112&lt;O111,$T$5*(O112-O111)*$L$3/100,$T$5*O112/100)</f>
        <v>1.4</v>
      </c>
      <c r="AF119" s="101"/>
      <c r="AG119" s="101">
        <f>IF(S112&lt;S111,$T$5*(S112-S111)*$L$3/100,$T$5*S112/100)</f>
        <v>1.4</v>
      </c>
      <c r="AH119" s="101"/>
      <c r="AI119" s="97">
        <f>SUM(AA119:AH119)</f>
        <v>5.32</v>
      </c>
      <c r="AJ119" s="98"/>
      <c r="AK119" s="98"/>
      <c r="AL119" s="2" t="s">
        <v>277</v>
      </c>
    </row>
    <row r="120" spans="1:38" ht="12.75">
      <c r="A120" s="144"/>
      <c r="B120" s="125" t="s">
        <v>283</v>
      </c>
      <c r="C120" s="126"/>
      <c r="D120" s="126"/>
      <c r="E120" s="126"/>
      <c r="F120" s="161"/>
      <c r="G120" s="156">
        <f>G119-G116-G115+$AI122</f>
        <v>-8.621052631578948</v>
      </c>
      <c r="H120" s="157"/>
      <c r="I120" s="157"/>
      <c r="J120" s="158"/>
      <c r="K120" s="156">
        <f>K119-K116-K115+$AI122</f>
        <v>2.873684210526317</v>
      </c>
      <c r="L120" s="157"/>
      <c r="M120" s="157"/>
      <c r="N120" s="158"/>
      <c r="O120" s="156">
        <f>O119-O116-O115+$AI122</f>
        <v>2.873684210526317</v>
      </c>
      <c r="P120" s="157"/>
      <c r="Q120" s="157"/>
      <c r="R120" s="158"/>
      <c r="S120" s="156">
        <f>S119-S116-S115+$AI122</f>
        <v>2.873684210526317</v>
      </c>
      <c r="T120" s="157"/>
      <c r="U120" s="157"/>
      <c r="V120" s="158"/>
      <c r="W120" s="153">
        <f t="shared" si="5"/>
        <v>3.552713678800501E-15</v>
      </c>
      <c r="X120" s="154"/>
      <c r="Y120" s="154"/>
      <c r="Z120" s="159"/>
      <c r="AA120" s="101">
        <f>IF(G112&lt;G111,0,$T$3*G112/100)</f>
        <v>0</v>
      </c>
      <c r="AB120" s="101"/>
      <c r="AC120" s="101">
        <f>IF(K112&lt;K111,0,$T$3*K112/100)</f>
        <v>0</v>
      </c>
      <c r="AD120" s="101"/>
      <c r="AE120" s="101">
        <f>IF(O112&lt;O111,0,$T$3*O112/100)</f>
        <v>0</v>
      </c>
      <c r="AF120" s="101"/>
      <c r="AG120" s="101">
        <f>IF(S112&lt;S111,0,$T$3*S112/100)</f>
        <v>0</v>
      </c>
      <c r="AH120" s="101"/>
      <c r="AI120" s="97">
        <f>SUM(AA120:AH120)</f>
        <v>0</v>
      </c>
      <c r="AJ120" s="98"/>
      <c r="AK120" s="98"/>
      <c r="AL120" s="2" t="s">
        <v>248</v>
      </c>
    </row>
    <row r="121" spans="1:38" ht="12.75">
      <c r="A121" s="144"/>
      <c r="B121" s="125" t="s">
        <v>45</v>
      </c>
      <c r="C121" s="126"/>
      <c r="D121" s="126"/>
      <c r="E121" s="126"/>
      <c r="F121" s="161"/>
      <c r="G121" s="156">
        <f>G120+G118</f>
        <v>-8.621052631578948</v>
      </c>
      <c r="H121" s="157"/>
      <c r="I121" s="157"/>
      <c r="J121" s="158"/>
      <c r="K121" s="160">
        <f>K120+K118</f>
        <v>2.873684210526317</v>
      </c>
      <c r="L121" s="157"/>
      <c r="M121" s="157"/>
      <c r="N121" s="158"/>
      <c r="O121" s="156">
        <f>O120+O118</f>
        <v>2.873684210526317</v>
      </c>
      <c r="P121" s="157"/>
      <c r="Q121" s="157"/>
      <c r="R121" s="158"/>
      <c r="S121" s="160">
        <f>S120+S118</f>
        <v>2.873684210526317</v>
      </c>
      <c r="T121" s="157"/>
      <c r="U121" s="157"/>
      <c r="V121" s="158"/>
      <c r="W121" s="153">
        <f t="shared" si="5"/>
        <v>3.552713678800501E-15</v>
      </c>
      <c r="X121" s="154"/>
      <c r="Y121" s="154"/>
      <c r="Z121" s="155"/>
      <c r="AA121" s="101">
        <f>IF(G112&lt;G111,0,$T$4*G112/100)</f>
        <v>0</v>
      </c>
      <c r="AB121" s="101"/>
      <c r="AC121" s="101">
        <f>IF(K112&lt;K111,0,$T$4*K112/100)</f>
        <v>0</v>
      </c>
      <c r="AD121" s="101"/>
      <c r="AE121" s="101">
        <f>IF(O112&lt;O111,0,$T$4*O112/100)</f>
        <v>0</v>
      </c>
      <c r="AF121" s="101"/>
      <c r="AG121" s="101">
        <f>IF(S112&lt;S111,0,$T$4*S112/100)</f>
        <v>0</v>
      </c>
      <c r="AH121" s="101"/>
      <c r="AI121" s="97">
        <f>SUM(AA121:AH121)</f>
        <v>0</v>
      </c>
      <c r="AJ121" s="98"/>
      <c r="AK121" s="98"/>
      <c r="AL121" s="2" t="s">
        <v>281</v>
      </c>
    </row>
    <row r="122" spans="1:38" ht="12.75">
      <c r="A122" s="144"/>
      <c r="B122" s="194" t="s">
        <v>26</v>
      </c>
      <c r="C122" s="98"/>
      <c r="D122" s="98"/>
      <c r="E122" s="98"/>
      <c r="F122" s="195"/>
      <c r="G122" s="196">
        <f>$AG114/100*$AL$3</f>
        <v>4.440892098500626E-16</v>
      </c>
      <c r="H122" s="197"/>
      <c r="I122" s="197"/>
      <c r="J122" s="198"/>
      <c r="K122" s="137">
        <f>$AG114/100*$AL$4</f>
        <v>2.6645352591003756E-16</v>
      </c>
      <c r="L122" s="138"/>
      <c r="M122" s="138"/>
      <c r="N122" s="139"/>
      <c r="O122" s="137">
        <f>$AG114/100*$AL$4</f>
        <v>2.6645352591003756E-16</v>
      </c>
      <c r="P122" s="138"/>
      <c r="Q122" s="138"/>
      <c r="R122" s="139"/>
      <c r="S122" s="137">
        <f>$AG114/100*$AL$4</f>
        <v>2.6645352591003756E-16</v>
      </c>
      <c r="T122" s="138"/>
      <c r="U122" s="138"/>
      <c r="V122" s="139"/>
      <c r="W122" s="153">
        <f t="shared" si="5"/>
        <v>1.2434497875801754E-15</v>
      </c>
      <c r="X122" s="154"/>
      <c r="Y122" s="154"/>
      <c r="Z122" s="155"/>
      <c r="AI122" s="224">
        <f>'ЦФУ Продажи'!AE$59</f>
        <v>0</v>
      </c>
      <c r="AJ122" s="224"/>
      <c r="AK122" s="224"/>
      <c r="AL122" s="2" t="s">
        <v>280</v>
      </c>
    </row>
    <row r="123" spans="1:38" ht="13.5" thickBot="1">
      <c r="A123" s="144"/>
      <c r="B123" s="191" t="s">
        <v>28</v>
      </c>
      <c r="C123" s="192"/>
      <c r="D123" s="192"/>
      <c r="E123" s="192"/>
      <c r="F123" s="193"/>
      <c r="G123" s="149">
        <f>IF(G122&lt;0,G115,G115+G122)</f>
        <v>29</v>
      </c>
      <c r="H123" s="147"/>
      <c r="I123" s="147"/>
      <c r="J123" s="148"/>
      <c r="K123" s="146">
        <f>IF(K122&lt;0,K115,K115+K122)</f>
        <v>27.599999999999998</v>
      </c>
      <c r="L123" s="147"/>
      <c r="M123" s="147"/>
      <c r="N123" s="148"/>
      <c r="O123" s="149">
        <f>IF(O122&lt;0,O115,O115+O122)</f>
        <v>27.599999999999998</v>
      </c>
      <c r="P123" s="147"/>
      <c r="Q123" s="147"/>
      <c r="R123" s="148"/>
      <c r="S123" s="146">
        <f>IF(S122&lt;0,S115,S115+S122)</f>
        <v>27.599999999999998</v>
      </c>
      <c r="T123" s="147"/>
      <c r="U123" s="147"/>
      <c r="V123" s="148"/>
      <c r="W123" s="150">
        <f t="shared" si="5"/>
        <v>111.79999999999998</v>
      </c>
      <c r="X123" s="151"/>
      <c r="Y123" s="151"/>
      <c r="Z123" s="152"/>
      <c r="AA123" s="101">
        <f>IF($AI119&gt;0,IF(AA119&gt;=0,0,G112*($T$2+$T$3+$T$5)/100-AA119),IF(G112&lt;G111,G112*($T$2+$T$3+$T$5)/100,AA119))</f>
        <v>0</v>
      </c>
      <c r="AB123" s="101"/>
      <c r="AC123" s="101">
        <f>IF($AI119&gt;0,IF(AC119&gt;=0,0,K112*($T$2+$T$3+$T$4+$T$5)/100-AC119),IF(K112&lt;K111,K112*($T$2+$T$3+$T$4+$T$5)/100,AC119))</f>
        <v>0</v>
      </c>
      <c r="AD123" s="101"/>
      <c r="AE123" s="101">
        <f>IF($AI119&gt;0,IF(AE119&gt;=0,0,O112*($T$2+$T$3+$T$4+$T$5)/100-AE119),IF(O112&lt;O111,O112*($T$2+$T$3+$T$4+$T$5)/100,AE119))</f>
        <v>0</v>
      </c>
      <c r="AF123" s="101"/>
      <c r="AG123" s="101">
        <f>IF($AI119&gt;0,IF(AG119&gt;=0,0,S112*($T$2+$T$3+$T$4+$T$5)/100-AG119),IF(S112&lt;S111,S112*($T$2+$T$3+$T$4+$T$5)/100,AG119))</f>
        <v>0</v>
      </c>
      <c r="AH123" s="101"/>
      <c r="AI123" s="97">
        <f>SUM(AA123:AH123)</f>
        <v>0</v>
      </c>
      <c r="AJ123" s="98"/>
      <c r="AK123" s="98"/>
      <c r="AL123" s="2" t="s">
        <v>218</v>
      </c>
    </row>
    <row r="124" spans="1:35" ht="12.75" customHeight="1">
      <c r="A124" s="143" t="s">
        <v>70</v>
      </c>
      <c r="B124" s="93" t="s">
        <v>23</v>
      </c>
      <c r="C124" s="94"/>
      <c r="D124" s="94"/>
      <c r="E124" s="94"/>
      <c r="F124" s="199"/>
      <c r="G124" s="185">
        <v>1120</v>
      </c>
      <c r="H124" s="183"/>
      <c r="I124" s="183"/>
      <c r="J124" s="184"/>
      <c r="K124" s="182">
        <v>1400</v>
      </c>
      <c r="L124" s="183"/>
      <c r="M124" s="183"/>
      <c r="N124" s="184"/>
      <c r="O124" s="185">
        <v>1400</v>
      </c>
      <c r="P124" s="183"/>
      <c r="Q124" s="183"/>
      <c r="R124" s="184"/>
      <c r="S124" s="182">
        <v>1400</v>
      </c>
      <c r="T124" s="183"/>
      <c r="U124" s="183"/>
      <c r="V124" s="184"/>
      <c r="W124" s="170">
        <f t="shared" si="5"/>
        <v>5320</v>
      </c>
      <c r="X124" s="171"/>
      <c r="Y124" s="171"/>
      <c r="Z124" s="172"/>
      <c r="AA124" s="93" t="s">
        <v>53</v>
      </c>
      <c r="AB124" s="94"/>
      <c r="AC124" s="94"/>
      <c r="AD124" s="94"/>
      <c r="AE124" s="94"/>
      <c r="AF124" s="94"/>
      <c r="AG124" s="173">
        <f>(W129+$N$2*AG130)/W124*100+$Q$2+$T$2+$T$3+$T$5</f>
        <v>3.6052631578947367</v>
      </c>
      <c r="AH124" s="174"/>
      <c r="AI124" s="175"/>
    </row>
    <row r="125" spans="1:36" ht="12.75">
      <c r="A125" s="144"/>
      <c r="B125" s="125" t="s">
        <v>24</v>
      </c>
      <c r="C125" s="126"/>
      <c r="D125" s="126"/>
      <c r="E125" s="126"/>
      <c r="F125" s="161"/>
      <c r="G125" s="179">
        <v>1120</v>
      </c>
      <c r="H125" s="177"/>
      <c r="I125" s="177"/>
      <c r="J125" s="178"/>
      <c r="K125" s="176">
        <v>1400</v>
      </c>
      <c r="L125" s="177"/>
      <c r="M125" s="177"/>
      <c r="N125" s="178"/>
      <c r="O125" s="179">
        <v>1400</v>
      </c>
      <c r="P125" s="177"/>
      <c r="Q125" s="177"/>
      <c r="R125" s="178"/>
      <c r="S125" s="176">
        <v>1400</v>
      </c>
      <c r="T125" s="177"/>
      <c r="U125" s="177"/>
      <c r="V125" s="178"/>
      <c r="W125" s="153">
        <f t="shared" si="5"/>
        <v>5320</v>
      </c>
      <c r="X125" s="154"/>
      <c r="Y125" s="154"/>
      <c r="Z125" s="155"/>
      <c r="AA125" s="125" t="s">
        <v>54</v>
      </c>
      <c r="AB125" s="126"/>
      <c r="AC125" s="126"/>
      <c r="AD125" s="126"/>
      <c r="AE125" s="126"/>
      <c r="AF125" s="126"/>
      <c r="AG125" s="180">
        <f>(AG124-$L$2)*W124/100</f>
        <v>0</v>
      </c>
      <c r="AH125" s="180"/>
      <c r="AI125" s="181"/>
      <c r="AJ125" s="2" t="s">
        <v>284</v>
      </c>
    </row>
    <row r="126" spans="1:43" ht="12.75">
      <c r="A126" s="144"/>
      <c r="B126" s="125" t="s">
        <v>29</v>
      </c>
      <c r="C126" s="126"/>
      <c r="D126" s="126"/>
      <c r="E126" s="126"/>
      <c r="F126" s="161"/>
      <c r="G126" s="156">
        <f>IF(G124&lt;=G125,$N$2+G125/100*($Q$2+$T$2)+$AI133/$AG130+$AI135+IF(AI132&gt;0,AI132,0),$N$2+G125/100*$Q$2+$AI133/$AG130+$AI135+IF(AI132&gt;0,AI132,0))</f>
        <v>29</v>
      </c>
      <c r="H126" s="157"/>
      <c r="I126" s="157"/>
      <c r="J126" s="158"/>
      <c r="K126" s="156">
        <f>IF(K124&lt;=K125,$N$2+K125/100*($Q$2+$T$2)+$AI133/$AG130+$AI135,$N$2+K125/100*$Q$2+$AI133/$AG130+$AI135)</f>
        <v>27.599999999999998</v>
      </c>
      <c r="L126" s="157"/>
      <c r="M126" s="157"/>
      <c r="N126" s="158"/>
      <c r="O126" s="156">
        <f>IF(O124&lt;=O125,$N$2+O125/100*($Q$2+$T$2)+$AI133/$AG130+$AI135,$N$2+O125/100*$Q$2+$AI133/$AG130+$AI135)</f>
        <v>27.599999999999998</v>
      </c>
      <c r="P126" s="157"/>
      <c r="Q126" s="157"/>
      <c r="R126" s="158"/>
      <c r="S126" s="156">
        <f>IF(S124&lt;=S125,$N$2+S125/100*($Q$2+$T$2)+$AI133/$AG130+$AI135,$N$2+S125/100*$Q$2+$AI133/$AG130+$AI135)</f>
        <v>27.599999999999998</v>
      </c>
      <c r="T126" s="157"/>
      <c r="U126" s="157"/>
      <c r="V126" s="158"/>
      <c r="W126" s="153">
        <f t="shared" si="5"/>
        <v>111.79999999999998</v>
      </c>
      <c r="X126" s="154"/>
      <c r="Y126" s="154"/>
      <c r="Z126" s="155"/>
      <c r="AA126" s="125" t="s">
        <v>55</v>
      </c>
      <c r="AB126" s="126"/>
      <c r="AC126" s="126"/>
      <c r="AD126" s="126"/>
      <c r="AE126" s="126"/>
      <c r="AF126" s="126"/>
      <c r="AG126" s="122">
        <f>SUM(AJ127:AQ127)+AG125</f>
        <v>0</v>
      </c>
      <c r="AH126" s="123"/>
      <c r="AI126" s="124"/>
      <c r="AJ126" s="225">
        <f>$N$2+G124*($Q$2+$T$2+$T$3/$AG130)/100+$T$5*$W124/100</f>
        <v>29</v>
      </c>
      <c r="AK126" s="226"/>
      <c r="AL126" s="225">
        <f>$N$2+K124*($Q$2+$T$2+$T$3/$AG130)/100</f>
        <v>27.599999999999998</v>
      </c>
      <c r="AM126" s="226"/>
      <c r="AN126" s="225">
        <f>$N$2+O124*($Q$2+$T$2+$T$3/$AG130)/100</f>
        <v>27.599999999999998</v>
      </c>
      <c r="AO126" s="226"/>
      <c r="AP126" s="225">
        <f>$N$2+S124*($Q$2+$T$2+$T$3/$AG130)/100</f>
        <v>27.599999999999998</v>
      </c>
      <c r="AQ126" s="226"/>
    </row>
    <row r="127" spans="1:43" ht="12.75">
      <c r="A127" s="144"/>
      <c r="B127" s="125" t="s">
        <v>10</v>
      </c>
      <c r="C127" s="126"/>
      <c r="D127" s="126"/>
      <c r="E127" s="126"/>
      <c r="F127" s="161"/>
      <c r="G127" s="169">
        <v>20</v>
      </c>
      <c r="H127" s="167"/>
      <c r="I127" s="167"/>
      <c r="J127" s="168"/>
      <c r="K127" s="166">
        <v>15</v>
      </c>
      <c r="L127" s="167"/>
      <c r="M127" s="167"/>
      <c r="N127" s="168"/>
      <c r="O127" s="169">
        <v>10</v>
      </c>
      <c r="P127" s="167"/>
      <c r="Q127" s="167"/>
      <c r="R127" s="168"/>
      <c r="S127" s="166">
        <v>8</v>
      </c>
      <c r="T127" s="167"/>
      <c r="U127" s="167"/>
      <c r="V127" s="168"/>
      <c r="W127" s="153">
        <f t="shared" si="5"/>
        <v>53</v>
      </c>
      <c r="X127" s="154"/>
      <c r="Y127" s="154"/>
      <c r="Z127" s="155"/>
      <c r="AA127" s="125" t="s">
        <v>56</v>
      </c>
      <c r="AB127" s="126"/>
      <c r="AC127" s="126"/>
      <c r="AD127" s="126"/>
      <c r="AE127" s="126"/>
      <c r="AF127" s="126"/>
      <c r="AG127" s="134">
        <f>W134+AG126</f>
        <v>3.552713678800501E-15</v>
      </c>
      <c r="AH127" s="134"/>
      <c r="AI127" s="135"/>
      <c r="AJ127" s="225">
        <f>IF(AJ126&gt;G127,0,G127-AJ126)</f>
        <v>0</v>
      </c>
      <c r="AK127" s="226"/>
      <c r="AL127" s="225">
        <f>IF(AL126&gt;K127,0,K127-AL126)</f>
        <v>0</v>
      </c>
      <c r="AM127" s="226"/>
      <c r="AN127" s="225">
        <f>IF(AN126&gt;O127,0,O127-AN126)</f>
        <v>0</v>
      </c>
      <c r="AO127" s="226"/>
      <c r="AP127" s="225">
        <f>IF(AP126&gt;S127,0,S127-AP126)</f>
        <v>0</v>
      </c>
      <c r="AQ127" s="226"/>
    </row>
    <row r="128" spans="1:48" ht="13.5" thickBot="1">
      <c r="A128" s="144"/>
      <c r="B128" s="125" t="s">
        <v>58</v>
      </c>
      <c r="C128" s="126"/>
      <c r="D128" s="126"/>
      <c r="E128" s="126"/>
      <c r="F128" s="161"/>
      <c r="G128" s="156">
        <f>IF(G126&lt;G127,G127,G126)</f>
        <v>29</v>
      </c>
      <c r="H128" s="157"/>
      <c r="I128" s="157"/>
      <c r="J128" s="158"/>
      <c r="K128" s="160">
        <f>IF(K126&lt;K127,K127,K126)</f>
        <v>27.599999999999998</v>
      </c>
      <c r="L128" s="157"/>
      <c r="M128" s="157"/>
      <c r="N128" s="158"/>
      <c r="O128" s="156">
        <f>IF(O126&lt;O127,O127,O126)</f>
        <v>27.599999999999998</v>
      </c>
      <c r="P128" s="157"/>
      <c r="Q128" s="157"/>
      <c r="R128" s="158"/>
      <c r="S128" s="160">
        <f>IF(S126&lt;S127,S127,S126)</f>
        <v>27.599999999999998</v>
      </c>
      <c r="T128" s="157"/>
      <c r="U128" s="157"/>
      <c r="V128" s="158"/>
      <c r="W128" s="153">
        <f t="shared" si="5"/>
        <v>111.79999999999998</v>
      </c>
      <c r="X128" s="154"/>
      <c r="Y128" s="154"/>
      <c r="Z128" s="155"/>
      <c r="AA128" s="92" t="s">
        <v>57</v>
      </c>
      <c r="AB128" s="90"/>
      <c r="AC128" s="90"/>
      <c r="AD128" s="90"/>
      <c r="AE128" s="90"/>
      <c r="AF128" s="90"/>
      <c r="AG128" s="91">
        <f>-AG126+AG127-W135</f>
        <v>2.3092638912203253E-15</v>
      </c>
      <c r="AH128" s="91"/>
      <c r="AI128" s="85"/>
      <c r="AP128" s="35"/>
      <c r="AQ128" s="35"/>
      <c r="AR128" s="35"/>
      <c r="AS128" s="35"/>
      <c r="AT128" s="35"/>
      <c r="AU128" s="35"/>
      <c r="AV128" s="35"/>
    </row>
    <row r="129" spans="1:48" ht="12.75">
      <c r="A129" s="144"/>
      <c r="B129" s="125" t="s">
        <v>41</v>
      </c>
      <c r="C129" s="126"/>
      <c r="D129" s="126"/>
      <c r="E129" s="126"/>
      <c r="F129" s="161"/>
      <c r="G129" s="156">
        <v>20</v>
      </c>
      <c r="H129" s="157"/>
      <c r="I129" s="157"/>
      <c r="J129" s="158"/>
      <c r="K129" s="160">
        <v>20</v>
      </c>
      <c r="L129" s="157"/>
      <c r="M129" s="157"/>
      <c r="N129" s="158"/>
      <c r="O129" s="156">
        <v>20</v>
      </c>
      <c r="P129" s="157"/>
      <c r="Q129" s="157"/>
      <c r="R129" s="158"/>
      <c r="S129" s="160">
        <v>20</v>
      </c>
      <c r="T129" s="157"/>
      <c r="U129" s="157"/>
      <c r="V129" s="158"/>
      <c r="W129" s="153">
        <f t="shared" si="5"/>
        <v>80</v>
      </c>
      <c r="X129" s="154"/>
      <c r="Y129" s="154"/>
      <c r="Z129" s="155"/>
      <c r="AA129" s="86" t="s">
        <v>59</v>
      </c>
      <c r="AB129" s="87"/>
      <c r="AC129" s="87"/>
      <c r="AD129" s="87"/>
      <c r="AE129" s="87"/>
      <c r="AF129" s="87"/>
      <c r="AG129" s="88">
        <f>AG126+AG128</f>
        <v>2.3092638912203253E-15</v>
      </c>
      <c r="AH129" s="89"/>
      <c r="AI129" s="84"/>
      <c r="AP129" s="35"/>
      <c r="AQ129" s="35"/>
      <c r="AR129" s="35"/>
      <c r="AS129" s="35"/>
      <c r="AT129" s="35"/>
      <c r="AU129" s="35"/>
      <c r="AV129" s="35"/>
    </row>
    <row r="130" spans="1:48" ht="12.75">
      <c r="A130" s="144"/>
      <c r="B130" s="125" t="s">
        <v>42</v>
      </c>
      <c r="C130" s="126"/>
      <c r="D130" s="126"/>
      <c r="E130" s="126"/>
      <c r="F130" s="161"/>
      <c r="G130" s="169">
        <v>20</v>
      </c>
      <c r="H130" s="167"/>
      <c r="I130" s="167"/>
      <c r="J130" s="168"/>
      <c r="K130" s="166">
        <v>20</v>
      </c>
      <c r="L130" s="167"/>
      <c r="M130" s="167"/>
      <c r="N130" s="168"/>
      <c r="O130" s="169">
        <v>20</v>
      </c>
      <c r="P130" s="167"/>
      <c r="Q130" s="167"/>
      <c r="R130" s="168"/>
      <c r="S130" s="166">
        <v>20</v>
      </c>
      <c r="T130" s="167"/>
      <c r="U130" s="167"/>
      <c r="V130" s="168"/>
      <c r="W130" s="153">
        <f t="shared" si="5"/>
        <v>80</v>
      </c>
      <c r="X130" s="154"/>
      <c r="Y130" s="154"/>
      <c r="Z130" s="159"/>
      <c r="AA130" s="102" t="s">
        <v>279</v>
      </c>
      <c r="AB130" s="103"/>
      <c r="AC130" s="103"/>
      <c r="AD130" s="103"/>
      <c r="AE130" s="103"/>
      <c r="AF130" s="103"/>
      <c r="AG130" s="95">
        <v>4</v>
      </c>
      <c r="AH130" s="95"/>
      <c r="AI130" s="95"/>
      <c r="AP130" s="35"/>
      <c r="AQ130" s="132"/>
      <c r="AR130" s="132"/>
      <c r="AS130" s="35"/>
      <c r="AT130" s="35"/>
      <c r="AU130" s="35"/>
      <c r="AV130" s="35"/>
    </row>
    <row r="131" spans="1:48" ht="12.75">
      <c r="A131" s="144"/>
      <c r="B131" s="125" t="s">
        <v>43</v>
      </c>
      <c r="C131" s="126"/>
      <c r="D131" s="126"/>
      <c r="E131" s="126"/>
      <c r="F131" s="161"/>
      <c r="G131" s="165">
        <f>G129-G130</f>
        <v>0</v>
      </c>
      <c r="H131" s="163"/>
      <c r="I131" s="163"/>
      <c r="J131" s="164"/>
      <c r="K131" s="162">
        <f>K129-K130</f>
        <v>0</v>
      </c>
      <c r="L131" s="163"/>
      <c r="M131" s="163"/>
      <c r="N131" s="164"/>
      <c r="O131" s="165">
        <f>O129-O130</f>
        <v>0</v>
      </c>
      <c r="P131" s="163"/>
      <c r="Q131" s="163"/>
      <c r="R131" s="164"/>
      <c r="S131" s="162">
        <f>S129-S130</f>
        <v>0</v>
      </c>
      <c r="T131" s="163"/>
      <c r="U131" s="163"/>
      <c r="V131" s="164"/>
      <c r="W131" s="153">
        <f t="shared" si="5"/>
        <v>0</v>
      </c>
      <c r="X131" s="154"/>
      <c r="Y131" s="154"/>
      <c r="Z131" s="159"/>
      <c r="AA131" s="126">
        <f>W125*$L$2/100-AI136</f>
        <v>191.8</v>
      </c>
      <c r="AB131" s="126"/>
      <c r="AC131" s="126"/>
      <c r="AD131" s="126"/>
      <c r="AE131" s="126"/>
      <c r="AF131" s="126"/>
      <c r="AG131" s="133"/>
      <c r="AH131" s="133"/>
      <c r="AI131" s="133"/>
      <c r="AP131" s="35"/>
      <c r="AQ131" s="35"/>
      <c r="AR131" s="35"/>
      <c r="AS131" s="35"/>
      <c r="AT131" s="35"/>
      <c r="AU131" s="35"/>
      <c r="AV131" s="35"/>
    </row>
    <row r="132" spans="1:48" ht="12.75">
      <c r="A132" s="144"/>
      <c r="B132" s="125" t="s">
        <v>30</v>
      </c>
      <c r="C132" s="126"/>
      <c r="D132" s="126"/>
      <c r="E132" s="126"/>
      <c r="F132" s="161"/>
      <c r="G132" s="156">
        <f>G125*$L$2/100-AA136</f>
        <v>40.37894736842105</v>
      </c>
      <c r="H132" s="157"/>
      <c r="I132" s="157"/>
      <c r="J132" s="158"/>
      <c r="K132" s="156">
        <f>K125*$L$2/100-AC136</f>
        <v>50.473684210526315</v>
      </c>
      <c r="L132" s="157"/>
      <c r="M132" s="157"/>
      <c r="N132" s="158"/>
      <c r="O132" s="156">
        <f>O125*$L$2/100-AE136</f>
        <v>50.473684210526315</v>
      </c>
      <c r="P132" s="157"/>
      <c r="Q132" s="157"/>
      <c r="R132" s="158"/>
      <c r="S132" s="156">
        <f>S125*$L$2/100-AG136</f>
        <v>50.473684210526315</v>
      </c>
      <c r="T132" s="157"/>
      <c r="U132" s="157"/>
      <c r="V132" s="158"/>
      <c r="W132" s="153">
        <f t="shared" si="5"/>
        <v>191.8</v>
      </c>
      <c r="X132" s="154"/>
      <c r="Y132" s="154"/>
      <c r="Z132" s="159"/>
      <c r="AA132" s="101">
        <f>IF(G125&lt;G124,$T$5*(G125-G124)*$L$3/100,$T$5*G125/100)</f>
        <v>1.12</v>
      </c>
      <c r="AB132" s="101"/>
      <c r="AC132" s="101">
        <f>IF(K125&lt;K124,$T$5*(K125-K124)*$L$3/100,$T$5*K125/100)</f>
        <v>1.4</v>
      </c>
      <c r="AD132" s="101"/>
      <c r="AE132" s="101">
        <f>IF(O125&lt;O124,$T$5*(O125-O124)*$L$3/100,$T$5*O125/100)</f>
        <v>1.4</v>
      </c>
      <c r="AF132" s="101"/>
      <c r="AG132" s="101">
        <f>IF(S125&lt;S124,$T$5*(S125-S124)*$L$3/100,$T$5*S125/100)</f>
        <v>1.4</v>
      </c>
      <c r="AH132" s="101"/>
      <c r="AI132" s="97">
        <f>SUM(AA132:AH132)</f>
        <v>5.32</v>
      </c>
      <c r="AJ132" s="98"/>
      <c r="AK132" s="98"/>
      <c r="AL132" s="2" t="s">
        <v>277</v>
      </c>
      <c r="AP132" s="35"/>
      <c r="AQ132" s="35"/>
      <c r="AR132" s="35"/>
      <c r="AS132" s="35"/>
      <c r="AT132" s="35"/>
      <c r="AU132" s="35"/>
      <c r="AV132" s="35"/>
    </row>
    <row r="133" spans="1:48" ht="12.75">
      <c r="A133" s="144"/>
      <c r="B133" s="125" t="s">
        <v>283</v>
      </c>
      <c r="C133" s="126"/>
      <c r="D133" s="126"/>
      <c r="E133" s="126"/>
      <c r="F133" s="161"/>
      <c r="G133" s="156">
        <f>G132-G129-G128+$AI135</f>
        <v>-8.621052631578948</v>
      </c>
      <c r="H133" s="157"/>
      <c r="I133" s="157"/>
      <c r="J133" s="158"/>
      <c r="K133" s="156">
        <f>K132-K129-K128+$AI135</f>
        <v>2.873684210526317</v>
      </c>
      <c r="L133" s="157"/>
      <c r="M133" s="157"/>
      <c r="N133" s="158"/>
      <c r="O133" s="156">
        <f>O132-O129-O128+$AI135</f>
        <v>2.873684210526317</v>
      </c>
      <c r="P133" s="157"/>
      <c r="Q133" s="157"/>
      <c r="R133" s="158"/>
      <c r="S133" s="156">
        <f>S132-S129-S128+$AI135</f>
        <v>2.873684210526317</v>
      </c>
      <c r="T133" s="157"/>
      <c r="U133" s="157"/>
      <c r="V133" s="158"/>
      <c r="W133" s="153">
        <f t="shared" si="5"/>
        <v>3.552713678800501E-15</v>
      </c>
      <c r="X133" s="154"/>
      <c r="Y133" s="154"/>
      <c r="Z133" s="159"/>
      <c r="AA133" s="101">
        <f>IF(G125&lt;G124,0,$T$3*G125/100)</f>
        <v>0</v>
      </c>
      <c r="AB133" s="101"/>
      <c r="AC133" s="101">
        <f>IF(K125&lt;K124,0,$T$3*K125/100)</f>
        <v>0</v>
      </c>
      <c r="AD133" s="101"/>
      <c r="AE133" s="101">
        <f>IF(O125&lt;O124,0,$T$3*O125/100)</f>
        <v>0</v>
      </c>
      <c r="AF133" s="101"/>
      <c r="AG133" s="101">
        <f>IF(S125&lt;S124,0,$T$3*S125/100)</f>
        <v>0</v>
      </c>
      <c r="AH133" s="101"/>
      <c r="AI133" s="97">
        <f>SUM(AA133:AH133)</f>
        <v>0</v>
      </c>
      <c r="AJ133" s="98"/>
      <c r="AK133" s="98"/>
      <c r="AL133" s="2" t="s">
        <v>248</v>
      </c>
      <c r="AP133" s="35"/>
      <c r="AQ133" s="35"/>
      <c r="AR133" s="35"/>
      <c r="AS133" s="35"/>
      <c r="AT133" s="35"/>
      <c r="AU133" s="35"/>
      <c r="AV133" s="35"/>
    </row>
    <row r="134" spans="1:48" ht="12.75">
      <c r="A134" s="144"/>
      <c r="B134" s="125" t="s">
        <v>45</v>
      </c>
      <c r="C134" s="126"/>
      <c r="D134" s="126"/>
      <c r="E134" s="126"/>
      <c r="F134" s="161"/>
      <c r="G134" s="156">
        <f>G133+G131</f>
        <v>-8.621052631578948</v>
      </c>
      <c r="H134" s="157"/>
      <c r="I134" s="157"/>
      <c r="J134" s="158"/>
      <c r="K134" s="160">
        <f>K133+K131</f>
        <v>2.873684210526317</v>
      </c>
      <c r="L134" s="157"/>
      <c r="M134" s="157"/>
      <c r="N134" s="158"/>
      <c r="O134" s="156">
        <f>O133+O131</f>
        <v>2.873684210526317</v>
      </c>
      <c r="P134" s="157"/>
      <c r="Q134" s="157"/>
      <c r="R134" s="158"/>
      <c r="S134" s="160">
        <f>S133+S131</f>
        <v>2.873684210526317</v>
      </c>
      <c r="T134" s="157"/>
      <c r="U134" s="157"/>
      <c r="V134" s="158"/>
      <c r="W134" s="153">
        <f t="shared" si="5"/>
        <v>3.552713678800501E-15</v>
      </c>
      <c r="X134" s="154"/>
      <c r="Y134" s="154"/>
      <c r="Z134" s="155"/>
      <c r="AA134" s="101">
        <f>IF(G125&lt;G124,0,$T$4*G125/100)</f>
        <v>0</v>
      </c>
      <c r="AB134" s="101"/>
      <c r="AC134" s="101">
        <f>IF(K125&lt;K124,0,$T$4*K125/100)</f>
        <v>0</v>
      </c>
      <c r="AD134" s="101"/>
      <c r="AE134" s="101">
        <f>IF(O125&lt;O124,0,$T$4*O125/100)</f>
        <v>0</v>
      </c>
      <c r="AF134" s="101"/>
      <c r="AG134" s="101">
        <f>IF(S125&lt;S124,0,$T$4*S125/100)</f>
        <v>0</v>
      </c>
      <c r="AH134" s="101"/>
      <c r="AI134" s="97">
        <f>SUM(AA134:AH134)</f>
        <v>0</v>
      </c>
      <c r="AJ134" s="98"/>
      <c r="AK134" s="98"/>
      <c r="AL134" s="2" t="s">
        <v>281</v>
      </c>
      <c r="AP134" s="35"/>
      <c r="AQ134" s="35"/>
      <c r="AR134" s="35"/>
      <c r="AS134" s="35"/>
      <c r="AT134" s="35"/>
      <c r="AU134" s="35"/>
      <c r="AV134" s="35"/>
    </row>
    <row r="135" spans="1:48" ht="12.75">
      <c r="A135" s="144"/>
      <c r="B135" s="194" t="s">
        <v>26</v>
      </c>
      <c r="C135" s="98"/>
      <c r="D135" s="98"/>
      <c r="E135" s="98"/>
      <c r="F135" s="195"/>
      <c r="G135" s="196">
        <f>$AG127/100*$AL$3</f>
        <v>4.440892098500626E-16</v>
      </c>
      <c r="H135" s="197"/>
      <c r="I135" s="197"/>
      <c r="J135" s="198"/>
      <c r="K135" s="137">
        <f>$AG127/100*$AL$4</f>
        <v>2.6645352591003756E-16</v>
      </c>
      <c r="L135" s="138"/>
      <c r="M135" s="138"/>
      <c r="N135" s="139"/>
      <c r="O135" s="137">
        <f>$AG127/100*$AL$4</f>
        <v>2.6645352591003756E-16</v>
      </c>
      <c r="P135" s="138"/>
      <c r="Q135" s="138"/>
      <c r="R135" s="139"/>
      <c r="S135" s="137">
        <f>$AG127/100*$AL$4</f>
        <v>2.6645352591003756E-16</v>
      </c>
      <c r="T135" s="138"/>
      <c r="U135" s="138"/>
      <c r="V135" s="139"/>
      <c r="W135" s="153">
        <f t="shared" si="5"/>
        <v>1.2434497875801754E-15</v>
      </c>
      <c r="X135" s="154"/>
      <c r="Y135" s="154"/>
      <c r="Z135" s="155"/>
      <c r="AI135" s="224">
        <f>'ЦФУ Продажи'!AH$59</f>
        <v>0</v>
      </c>
      <c r="AJ135" s="224"/>
      <c r="AK135" s="224"/>
      <c r="AL135" s="2" t="s">
        <v>280</v>
      </c>
      <c r="AP135" s="35"/>
      <c r="AQ135" s="35"/>
      <c r="AR135" s="35"/>
      <c r="AS135" s="35"/>
      <c r="AT135" s="35"/>
      <c r="AU135" s="35"/>
      <c r="AV135" s="35"/>
    </row>
    <row r="136" spans="1:38" ht="13.5" thickBot="1">
      <c r="A136" s="144"/>
      <c r="B136" s="191" t="s">
        <v>28</v>
      </c>
      <c r="C136" s="192"/>
      <c r="D136" s="192"/>
      <c r="E136" s="192"/>
      <c r="F136" s="193"/>
      <c r="G136" s="149">
        <f>IF(G135&lt;0,G128,G128+G135)</f>
        <v>29</v>
      </c>
      <c r="H136" s="147"/>
      <c r="I136" s="147"/>
      <c r="J136" s="148"/>
      <c r="K136" s="146">
        <f>IF(K135&lt;0,K128,K128+K135)</f>
        <v>27.599999999999998</v>
      </c>
      <c r="L136" s="147"/>
      <c r="M136" s="147"/>
      <c r="N136" s="148"/>
      <c r="O136" s="149">
        <f>IF(O135&lt;0,O128,O128+O135)</f>
        <v>27.599999999999998</v>
      </c>
      <c r="P136" s="147"/>
      <c r="Q136" s="147"/>
      <c r="R136" s="148"/>
      <c r="S136" s="146">
        <f>IF(S135&lt;0,S128,S128+S135)</f>
        <v>27.599999999999998</v>
      </c>
      <c r="T136" s="147"/>
      <c r="U136" s="147"/>
      <c r="V136" s="148"/>
      <c r="W136" s="150">
        <f t="shared" si="5"/>
        <v>111.79999999999998</v>
      </c>
      <c r="X136" s="151"/>
      <c r="Y136" s="151"/>
      <c r="Z136" s="152"/>
      <c r="AA136" s="101">
        <f>IF($AI132&gt;0,IF(AA132&gt;=0,0,G125*($T$2+$T$3+$T$5)/100-AA132),IF(G125&lt;G124,G125*($T$2+$T$3+$T$5)/100,AA132))</f>
        <v>0</v>
      </c>
      <c r="AB136" s="101"/>
      <c r="AC136" s="101">
        <f>IF($AI132&gt;0,IF(AC132&gt;=0,0,K125*($T$2+$T$3+$T$4+$T$5)/100-AC132),IF(K125&lt;K124,K125*($T$2+$T$3+$T$4+$T$5)/100,AC132))</f>
        <v>0</v>
      </c>
      <c r="AD136" s="101"/>
      <c r="AE136" s="101">
        <f>IF($AI132&gt;0,IF(AE132&gt;=0,0,O125*($T$2+$T$3+$T$4+$T$5)/100-AE132),IF(O125&lt;O124,O125*($T$2+$T$3+$T$4+$T$5)/100,AE132))</f>
        <v>0</v>
      </c>
      <c r="AF136" s="101"/>
      <c r="AG136" s="101">
        <f>IF($AI132&gt;0,IF(AG132&gt;=0,0,S125*($T$2+$T$3+$T$4+$T$5)/100-AG132),IF(S125&lt;S124,S125*($T$2+$T$3+$T$4+$T$5)/100,AG132))</f>
        <v>0</v>
      </c>
      <c r="AH136" s="101"/>
      <c r="AI136" s="97">
        <f>SUM(AA136:AH136)</f>
        <v>0</v>
      </c>
      <c r="AJ136" s="98"/>
      <c r="AK136" s="98"/>
      <c r="AL136" s="2" t="s">
        <v>218</v>
      </c>
    </row>
    <row r="137" spans="1:35" ht="12.75" customHeight="1">
      <c r="A137" s="143" t="s">
        <v>71</v>
      </c>
      <c r="B137" s="93" t="s">
        <v>23</v>
      </c>
      <c r="C137" s="94"/>
      <c r="D137" s="94"/>
      <c r="E137" s="94"/>
      <c r="F137" s="199"/>
      <c r="G137" s="185">
        <v>1120</v>
      </c>
      <c r="H137" s="183"/>
      <c r="I137" s="183"/>
      <c r="J137" s="184"/>
      <c r="K137" s="182">
        <v>1400</v>
      </c>
      <c r="L137" s="183"/>
      <c r="M137" s="183"/>
      <c r="N137" s="184"/>
      <c r="O137" s="185">
        <v>1400</v>
      </c>
      <c r="P137" s="183"/>
      <c r="Q137" s="183"/>
      <c r="R137" s="184"/>
      <c r="S137" s="182">
        <v>1400</v>
      </c>
      <c r="T137" s="183"/>
      <c r="U137" s="183"/>
      <c r="V137" s="184"/>
      <c r="W137" s="170">
        <f aca="true" t="shared" si="6" ref="W137:W149">G137+K137+O137+S137</f>
        <v>5320</v>
      </c>
      <c r="X137" s="171"/>
      <c r="Y137" s="171"/>
      <c r="Z137" s="172"/>
      <c r="AA137" s="93" t="s">
        <v>53</v>
      </c>
      <c r="AB137" s="94"/>
      <c r="AC137" s="94"/>
      <c r="AD137" s="94"/>
      <c r="AE137" s="94"/>
      <c r="AF137" s="94"/>
      <c r="AG137" s="173">
        <f>(W142+$N$2*AG143)/W137*100+$Q$2+$T$2+$T$3+$T$5</f>
        <v>3.6052631578947367</v>
      </c>
      <c r="AH137" s="174"/>
      <c r="AI137" s="175"/>
    </row>
    <row r="138" spans="1:36" ht="12.75">
      <c r="A138" s="144"/>
      <c r="B138" s="125" t="s">
        <v>24</v>
      </c>
      <c r="C138" s="126"/>
      <c r="D138" s="126"/>
      <c r="E138" s="126"/>
      <c r="F138" s="161"/>
      <c r="G138" s="179">
        <v>3500</v>
      </c>
      <c r="H138" s="177"/>
      <c r="I138" s="177"/>
      <c r="J138" s="178"/>
      <c r="K138" s="176">
        <v>1400</v>
      </c>
      <c r="L138" s="177"/>
      <c r="M138" s="177"/>
      <c r="N138" s="178"/>
      <c r="O138" s="179">
        <v>1400</v>
      </c>
      <c r="P138" s="177"/>
      <c r="Q138" s="177"/>
      <c r="R138" s="178"/>
      <c r="S138" s="176">
        <v>1400</v>
      </c>
      <c r="T138" s="177"/>
      <c r="U138" s="177"/>
      <c r="V138" s="178"/>
      <c r="W138" s="153">
        <f t="shared" si="6"/>
        <v>7700</v>
      </c>
      <c r="X138" s="154"/>
      <c r="Y138" s="154"/>
      <c r="Z138" s="155"/>
      <c r="AA138" s="125" t="s">
        <v>54</v>
      </c>
      <c r="AB138" s="126"/>
      <c r="AC138" s="126"/>
      <c r="AD138" s="126"/>
      <c r="AE138" s="126"/>
      <c r="AF138" s="126"/>
      <c r="AG138" s="180">
        <f>(AG137-$L$2)*W137/100</f>
        <v>0</v>
      </c>
      <c r="AH138" s="180"/>
      <c r="AI138" s="181"/>
      <c r="AJ138" s="2" t="s">
        <v>284</v>
      </c>
    </row>
    <row r="139" spans="1:43" ht="12.75">
      <c r="A139" s="144"/>
      <c r="B139" s="125" t="s">
        <v>29</v>
      </c>
      <c r="C139" s="126"/>
      <c r="D139" s="126"/>
      <c r="E139" s="126"/>
      <c r="F139" s="161"/>
      <c r="G139" s="156">
        <f>IF(G137&lt;=G138,$N$2+G138/100*($Q$2+$T$2)+$AI146/$AG143+$AI148+IF(AI145&gt;0,AI145,0),$N$2+G138/100*$Q$2+$AI146/$AG143+$AI148+IF(AI145&gt;0,AI145,0))</f>
        <v>64.7</v>
      </c>
      <c r="H139" s="157"/>
      <c r="I139" s="157"/>
      <c r="J139" s="158"/>
      <c r="K139" s="156">
        <f>IF(K137&lt;=K138,$N$2+K138/100*($Q$2+$T$2)+$AI146/$AG143+$AI148,$N$2+K138/100*$Q$2+$AI146/$AG143+$AI148)</f>
        <v>27.599999999999998</v>
      </c>
      <c r="L139" s="157"/>
      <c r="M139" s="157"/>
      <c r="N139" s="158"/>
      <c r="O139" s="156">
        <f>IF(O137&lt;=O138,$N$2+O138/100*($Q$2+$T$2)+$AI146/$AG143+$AI148,$N$2+O138/100*$Q$2+$AI146/$AG143+$AI148)</f>
        <v>27.599999999999998</v>
      </c>
      <c r="P139" s="157"/>
      <c r="Q139" s="157"/>
      <c r="R139" s="158"/>
      <c r="S139" s="156">
        <f>IF(S137&lt;=S138,$N$2+S138/100*($Q$2+$T$2)+$AI146/$AG143+$AI148,$N$2+S138/100*$Q$2+$AI146/$AG143+$AI148)</f>
        <v>27.599999999999998</v>
      </c>
      <c r="T139" s="157"/>
      <c r="U139" s="157"/>
      <c r="V139" s="158"/>
      <c r="W139" s="153">
        <f t="shared" si="6"/>
        <v>147.5</v>
      </c>
      <c r="X139" s="154"/>
      <c r="Y139" s="154"/>
      <c r="Z139" s="155"/>
      <c r="AA139" s="125" t="s">
        <v>55</v>
      </c>
      <c r="AB139" s="126"/>
      <c r="AC139" s="126"/>
      <c r="AD139" s="126"/>
      <c r="AE139" s="126"/>
      <c r="AF139" s="126"/>
      <c r="AG139" s="122">
        <f>SUM(AJ140:AQ140)+AG138</f>
        <v>0</v>
      </c>
      <c r="AH139" s="123"/>
      <c r="AI139" s="124"/>
      <c r="AJ139" s="225">
        <f>$N$2+G137*($Q$2+$T$2+$T$3/$AG143)/100+$T$5*$W137/100</f>
        <v>29</v>
      </c>
      <c r="AK139" s="226"/>
      <c r="AL139" s="225">
        <f>$N$2+K137*($Q$2+$T$2+$T$3/$AG143)/100</f>
        <v>27.599999999999998</v>
      </c>
      <c r="AM139" s="226"/>
      <c r="AN139" s="225">
        <f>$N$2+O137*($Q$2+$T$2+$T$3/$AG143)/100</f>
        <v>27.599999999999998</v>
      </c>
      <c r="AO139" s="226"/>
      <c r="AP139" s="225">
        <f>$N$2+S137*($Q$2+$T$2+$T$3/$AG143)/100</f>
        <v>27.599999999999998</v>
      </c>
      <c r="AQ139" s="226"/>
    </row>
    <row r="140" spans="1:43" ht="12.75">
      <c r="A140" s="144"/>
      <c r="B140" s="125" t="s">
        <v>10</v>
      </c>
      <c r="C140" s="126"/>
      <c r="D140" s="126"/>
      <c r="E140" s="126"/>
      <c r="F140" s="161"/>
      <c r="G140" s="169">
        <v>20</v>
      </c>
      <c r="H140" s="167"/>
      <c r="I140" s="167"/>
      <c r="J140" s="168"/>
      <c r="K140" s="166">
        <v>15</v>
      </c>
      <c r="L140" s="167"/>
      <c r="M140" s="167"/>
      <c r="N140" s="168"/>
      <c r="O140" s="169">
        <v>10</v>
      </c>
      <c r="P140" s="167"/>
      <c r="Q140" s="167"/>
      <c r="R140" s="168"/>
      <c r="S140" s="166">
        <v>8</v>
      </c>
      <c r="T140" s="167"/>
      <c r="U140" s="167"/>
      <c r="V140" s="168"/>
      <c r="W140" s="153">
        <f t="shared" si="6"/>
        <v>53</v>
      </c>
      <c r="X140" s="154"/>
      <c r="Y140" s="154"/>
      <c r="Z140" s="155"/>
      <c r="AA140" s="125" t="s">
        <v>56</v>
      </c>
      <c r="AB140" s="126"/>
      <c r="AC140" s="126"/>
      <c r="AD140" s="126"/>
      <c r="AE140" s="126"/>
      <c r="AF140" s="126"/>
      <c r="AG140" s="134">
        <f>W147+AG139</f>
        <v>50.10526315789474</v>
      </c>
      <c r="AH140" s="134"/>
      <c r="AI140" s="135"/>
      <c r="AJ140" s="225">
        <f>IF(AJ139&gt;G140,0,G140-AJ139)</f>
        <v>0</v>
      </c>
      <c r="AK140" s="226"/>
      <c r="AL140" s="225">
        <f>IF(AL139&gt;K140,0,K140-AL139)</f>
        <v>0</v>
      </c>
      <c r="AM140" s="226"/>
      <c r="AN140" s="225">
        <f>IF(AN139&gt;O140,0,O140-AN139)</f>
        <v>0</v>
      </c>
      <c r="AO140" s="226"/>
      <c r="AP140" s="225">
        <f>IF(AP139&gt;S140,0,S140-AP139)</f>
        <v>0</v>
      </c>
      <c r="AQ140" s="226"/>
    </row>
    <row r="141" spans="1:35" ht="13.5" thickBot="1">
      <c r="A141" s="144"/>
      <c r="B141" s="125" t="s">
        <v>58</v>
      </c>
      <c r="C141" s="126"/>
      <c r="D141" s="126"/>
      <c r="E141" s="126"/>
      <c r="F141" s="161"/>
      <c r="G141" s="156">
        <f>IF(G139&lt;G140,G140,G139)</f>
        <v>64.7</v>
      </c>
      <c r="H141" s="157"/>
      <c r="I141" s="157"/>
      <c r="J141" s="158"/>
      <c r="K141" s="160">
        <f>IF(K139&lt;K140,K140,K139)</f>
        <v>27.599999999999998</v>
      </c>
      <c r="L141" s="157"/>
      <c r="M141" s="157"/>
      <c r="N141" s="158"/>
      <c r="O141" s="156">
        <f>IF(O139&lt;O140,O140,O139)</f>
        <v>27.599999999999998</v>
      </c>
      <c r="P141" s="157"/>
      <c r="Q141" s="157"/>
      <c r="R141" s="158"/>
      <c r="S141" s="160">
        <f>IF(S139&lt;S140,S140,S139)</f>
        <v>27.599999999999998</v>
      </c>
      <c r="T141" s="157"/>
      <c r="U141" s="157"/>
      <c r="V141" s="158"/>
      <c r="W141" s="153">
        <f t="shared" si="6"/>
        <v>147.5</v>
      </c>
      <c r="X141" s="154"/>
      <c r="Y141" s="154"/>
      <c r="Z141" s="155"/>
      <c r="AA141" s="92" t="s">
        <v>57</v>
      </c>
      <c r="AB141" s="90"/>
      <c r="AC141" s="90"/>
      <c r="AD141" s="90"/>
      <c r="AE141" s="90"/>
      <c r="AF141" s="90"/>
      <c r="AG141" s="91">
        <f>-AG139+AG140-W148</f>
        <v>32.56842105263158</v>
      </c>
      <c r="AH141" s="91"/>
      <c r="AI141" s="85"/>
    </row>
    <row r="142" spans="1:35" ht="12.75">
      <c r="A142" s="144"/>
      <c r="B142" s="125" t="s">
        <v>41</v>
      </c>
      <c r="C142" s="126"/>
      <c r="D142" s="126"/>
      <c r="E142" s="126"/>
      <c r="F142" s="161"/>
      <c r="G142" s="156">
        <v>20</v>
      </c>
      <c r="H142" s="157"/>
      <c r="I142" s="157"/>
      <c r="J142" s="158"/>
      <c r="K142" s="160">
        <v>20</v>
      </c>
      <c r="L142" s="157"/>
      <c r="M142" s="157"/>
      <c r="N142" s="158"/>
      <c r="O142" s="156">
        <v>20</v>
      </c>
      <c r="P142" s="157"/>
      <c r="Q142" s="157"/>
      <c r="R142" s="158"/>
      <c r="S142" s="160">
        <v>20</v>
      </c>
      <c r="T142" s="157"/>
      <c r="U142" s="157"/>
      <c r="V142" s="158"/>
      <c r="W142" s="153">
        <f t="shared" si="6"/>
        <v>80</v>
      </c>
      <c r="X142" s="154"/>
      <c r="Y142" s="154"/>
      <c r="Z142" s="155"/>
      <c r="AA142" s="86" t="s">
        <v>59</v>
      </c>
      <c r="AB142" s="87"/>
      <c r="AC142" s="87"/>
      <c r="AD142" s="87"/>
      <c r="AE142" s="87"/>
      <c r="AF142" s="87"/>
      <c r="AG142" s="88">
        <f>AG139+AG141</f>
        <v>32.56842105263158</v>
      </c>
      <c r="AH142" s="89"/>
      <c r="AI142" s="84"/>
    </row>
    <row r="143" spans="1:35" ht="12.75">
      <c r="A143" s="144"/>
      <c r="B143" s="125" t="s">
        <v>42</v>
      </c>
      <c r="C143" s="126"/>
      <c r="D143" s="126"/>
      <c r="E143" s="126"/>
      <c r="F143" s="161"/>
      <c r="G143" s="169">
        <v>20</v>
      </c>
      <c r="H143" s="167"/>
      <c r="I143" s="167"/>
      <c r="J143" s="168"/>
      <c r="K143" s="166">
        <v>20</v>
      </c>
      <c r="L143" s="167"/>
      <c r="M143" s="167"/>
      <c r="N143" s="168"/>
      <c r="O143" s="169">
        <v>20</v>
      </c>
      <c r="P143" s="167"/>
      <c r="Q143" s="167"/>
      <c r="R143" s="168"/>
      <c r="S143" s="166">
        <v>20</v>
      </c>
      <c r="T143" s="167"/>
      <c r="U143" s="167"/>
      <c r="V143" s="168"/>
      <c r="W143" s="153">
        <f t="shared" si="6"/>
        <v>80</v>
      </c>
      <c r="X143" s="154"/>
      <c r="Y143" s="154"/>
      <c r="Z143" s="159"/>
      <c r="AA143" s="102" t="s">
        <v>279</v>
      </c>
      <c r="AB143" s="103"/>
      <c r="AC143" s="103"/>
      <c r="AD143" s="103"/>
      <c r="AE143" s="103"/>
      <c r="AF143" s="103"/>
      <c r="AG143" s="95">
        <v>4</v>
      </c>
      <c r="AH143" s="95"/>
      <c r="AI143" s="95"/>
    </row>
    <row r="144" spans="1:35" ht="12.75">
      <c r="A144" s="144"/>
      <c r="B144" s="125" t="s">
        <v>43</v>
      </c>
      <c r="C144" s="126"/>
      <c r="D144" s="126"/>
      <c r="E144" s="126"/>
      <c r="F144" s="161"/>
      <c r="G144" s="165">
        <f>G142-G143</f>
        <v>0</v>
      </c>
      <c r="H144" s="163"/>
      <c r="I144" s="163"/>
      <c r="J144" s="164"/>
      <c r="K144" s="162">
        <f>K142-K143</f>
        <v>0</v>
      </c>
      <c r="L144" s="163"/>
      <c r="M144" s="163"/>
      <c r="N144" s="164"/>
      <c r="O144" s="165">
        <f>O142-O143</f>
        <v>0</v>
      </c>
      <c r="P144" s="163"/>
      <c r="Q144" s="163"/>
      <c r="R144" s="164"/>
      <c r="S144" s="162">
        <f>S142-S143</f>
        <v>0</v>
      </c>
      <c r="T144" s="163"/>
      <c r="U144" s="163"/>
      <c r="V144" s="164"/>
      <c r="W144" s="153">
        <f t="shared" si="6"/>
        <v>0</v>
      </c>
      <c r="X144" s="154"/>
      <c r="Y144" s="154"/>
      <c r="Z144" s="159"/>
      <c r="AA144" s="126">
        <f>W138*$L$2/100-AI149</f>
        <v>277.60526315789474</v>
      </c>
      <c r="AB144" s="126"/>
      <c r="AC144" s="126"/>
      <c r="AD144" s="126"/>
      <c r="AE144" s="126"/>
      <c r="AF144" s="126"/>
      <c r="AG144" s="133"/>
      <c r="AH144" s="133"/>
      <c r="AI144" s="133"/>
    </row>
    <row r="145" spans="1:38" ht="12.75">
      <c r="A145" s="144"/>
      <c r="B145" s="125" t="s">
        <v>30</v>
      </c>
      <c r="C145" s="126"/>
      <c r="D145" s="126"/>
      <c r="E145" s="126"/>
      <c r="F145" s="161"/>
      <c r="G145" s="156">
        <f>G138*$L$2/100-AA149</f>
        <v>126.18421052631578</v>
      </c>
      <c r="H145" s="157"/>
      <c r="I145" s="157"/>
      <c r="J145" s="158"/>
      <c r="K145" s="156">
        <f>K138*$L$2/100-AC149</f>
        <v>50.473684210526315</v>
      </c>
      <c r="L145" s="157"/>
      <c r="M145" s="157"/>
      <c r="N145" s="158"/>
      <c r="O145" s="156">
        <f>O138*$L$2/100-AE149</f>
        <v>50.473684210526315</v>
      </c>
      <c r="P145" s="157"/>
      <c r="Q145" s="157"/>
      <c r="R145" s="158"/>
      <c r="S145" s="156">
        <f>S138*$L$2/100-AG149</f>
        <v>50.473684210526315</v>
      </c>
      <c r="T145" s="157"/>
      <c r="U145" s="157"/>
      <c r="V145" s="158"/>
      <c r="W145" s="153">
        <f t="shared" si="6"/>
        <v>277.6052631578947</v>
      </c>
      <c r="X145" s="154"/>
      <c r="Y145" s="154"/>
      <c r="Z145" s="159"/>
      <c r="AA145" s="101">
        <f>IF(G138&lt;G137,$T$5*(G138-G137)*$L$3/100,$T$5*G138/100)</f>
        <v>3.5</v>
      </c>
      <c r="AB145" s="101"/>
      <c r="AC145" s="101">
        <f>IF(K138&lt;K137,$T$5*(K138-K137)*$L$3/100,$T$5*K138/100)</f>
        <v>1.4</v>
      </c>
      <c r="AD145" s="101"/>
      <c r="AE145" s="101">
        <f>IF(O138&lt;O137,$T$5*(O138-O137)*$L$3/100,$T$5*O138/100)</f>
        <v>1.4</v>
      </c>
      <c r="AF145" s="101"/>
      <c r="AG145" s="101">
        <f>IF(S138&lt;S137,$T$5*(S138-S137)*$L$3/100,$T$5*S138/100)</f>
        <v>1.4</v>
      </c>
      <c r="AH145" s="101"/>
      <c r="AI145" s="97">
        <f>SUM(AA145:AH145)</f>
        <v>7.700000000000001</v>
      </c>
      <c r="AJ145" s="98"/>
      <c r="AK145" s="98"/>
      <c r="AL145" s="2" t="s">
        <v>277</v>
      </c>
    </row>
    <row r="146" spans="1:38" ht="12.75">
      <c r="A146" s="144"/>
      <c r="B146" s="125" t="s">
        <v>283</v>
      </c>
      <c r="C146" s="126"/>
      <c r="D146" s="126"/>
      <c r="E146" s="126"/>
      <c r="F146" s="161"/>
      <c r="G146" s="156">
        <f>G145-G142-G141+$AI148</f>
        <v>41.48421052631578</v>
      </c>
      <c r="H146" s="157"/>
      <c r="I146" s="157"/>
      <c r="J146" s="158"/>
      <c r="K146" s="156">
        <f>K145-K142-K141+$AI148</f>
        <v>2.873684210526317</v>
      </c>
      <c r="L146" s="157"/>
      <c r="M146" s="157"/>
      <c r="N146" s="158"/>
      <c r="O146" s="156">
        <f>O145-O142-O141+$AI148</f>
        <v>2.873684210526317</v>
      </c>
      <c r="P146" s="157"/>
      <c r="Q146" s="157"/>
      <c r="R146" s="158"/>
      <c r="S146" s="156">
        <f>S145-S142-S141+$AI148</f>
        <v>2.873684210526317</v>
      </c>
      <c r="T146" s="157"/>
      <c r="U146" s="157"/>
      <c r="V146" s="158"/>
      <c r="W146" s="153">
        <f t="shared" si="6"/>
        <v>50.10526315789474</v>
      </c>
      <c r="X146" s="154"/>
      <c r="Y146" s="154"/>
      <c r="Z146" s="159"/>
      <c r="AA146" s="101">
        <f>IF(G138&lt;G137,0,$T$3*G138/100)</f>
        <v>0</v>
      </c>
      <c r="AB146" s="101"/>
      <c r="AC146" s="101">
        <f>IF(K138&lt;K137,0,$T$3*K138/100)</f>
        <v>0</v>
      </c>
      <c r="AD146" s="101"/>
      <c r="AE146" s="101">
        <f>IF(O138&lt;O137,0,$T$3*O138/100)</f>
        <v>0</v>
      </c>
      <c r="AF146" s="101"/>
      <c r="AG146" s="101">
        <f>IF(S138&lt;S137,0,$T$3*S138/100)</f>
        <v>0</v>
      </c>
      <c r="AH146" s="101"/>
      <c r="AI146" s="97">
        <f>SUM(AA146:AH146)</f>
        <v>0</v>
      </c>
      <c r="AJ146" s="98"/>
      <c r="AK146" s="98"/>
      <c r="AL146" s="2" t="s">
        <v>248</v>
      </c>
    </row>
    <row r="147" spans="1:38" ht="12.75">
      <c r="A147" s="144"/>
      <c r="B147" s="125" t="s">
        <v>45</v>
      </c>
      <c r="C147" s="126"/>
      <c r="D147" s="126"/>
      <c r="E147" s="126"/>
      <c r="F147" s="161"/>
      <c r="G147" s="156">
        <f>G146+G144</f>
        <v>41.48421052631578</v>
      </c>
      <c r="H147" s="157"/>
      <c r="I147" s="157"/>
      <c r="J147" s="158"/>
      <c r="K147" s="160">
        <f>K146+K144</f>
        <v>2.873684210526317</v>
      </c>
      <c r="L147" s="157"/>
      <c r="M147" s="157"/>
      <c r="N147" s="158"/>
      <c r="O147" s="156">
        <f>O146+O144</f>
        <v>2.873684210526317</v>
      </c>
      <c r="P147" s="157"/>
      <c r="Q147" s="157"/>
      <c r="R147" s="158"/>
      <c r="S147" s="160">
        <f>S146+S144</f>
        <v>2.873684210526317</v>
      </c>
      <c r="T147" s="157"/>
      <c r="U147" s="157"/>
      <c r="V147" s="158"/>
      <c r="W147" s="153">
        <f t="shared" si="6"/>
        <v>50.10526315789474</v>
      </c>
      <c r="X147" s="154"/>
      <c r="Y147" s="154"/>
      <c r="Z147" s="155"/>
      <c r="AA147" s="101">
        <f>IF(G138&lt;G137,0,$T$4*G138/100)</f>
        <v>0</v>
      </c>
      <c r="AB147" s="101"/>
      <c r="AC147" s="101">
        <f>IF(K138&lt;K137,0,$T$4*K138/100)</f>
        <v>0</v>
      </c>
      <c r="AD147" s="101"/>
      <c r="AE147" s="101">
        <f>IF(O138&lt;O137,0,$T$4*O138/100)</f>
        <v>0</v>
      </c>
      <c r="AF147" s="101"/>
      <c r="AG147" s="101">
        <f>IF(S138&lt;S137,0,$T$4*S138/100)</f>
        <v>0</v>
      </c>
      <c r="AH147" s="101"/>
      <c r="AI147" s="97">
        <f>SUM(AA147:AH147)</f>
        <v>0</v>
      </c>
      <c r="AJ147" s="98"/>
      <c r="AK147" s="98"/>
      <c r="AL147" s="2" t="s">
        <v>281</v>
      </c>
    </row>
    <row r="148" spans="1:38" ht="12.75">
      <c r="A148" s="144"/>
      <c r="B148" s="194" t="s">
        <v>26</v>
      </c>
      <c r="C148" s="98"/>
      <c r="D148" s="98"/>
      <c r="E148" s="98"/>
      <c r="F148" s="195"/>
      <c r="G148" s="196">
        <f>$AG140/100*$AL$3</f>
        <v>6.2631578947368425</v>
      </c>
      <c r="H148" s="197"/>
      <c r="I148" s="197"/>
      <c r="J148" s="198"/>
      <c r="K148" s="137">
        <f>$AG140/100*$AL$4</f>
        <v>3.757894736842106</v>
      </c>
      <c r="L148" s="138"/>
      <c r="M148" s="138"/>
      <c r="N148" s="139"/>
      <c r="O148" s="137">
        <f>$AG140/100*$AL$4</f>
        <v>3.757894736842106</v>
      </c>
      <c r="P148" s="138"/>
      <c r="Q148" s="138"/>
      <c r="R148" s="139"/>
      <c r="S148" s="137">
        <f>$AG140/100*$AL$4</f>
        <v>3.757894736842106</v>
      </c>
      <c r="T148" s="138"/>
      <c r="U148" s="138"/>
      <c r="V148" s="139"/>
      <c r="W148" s="153">
        <f t="shared" si="6"/>
        <v>17.536842105263162</v>
      </c>
      <c r="X148" s="154"/>
      <c r="Y148" s="154"/>
      <c r="Z148" s="155"/>
      <c r="AI148" s="224">
        <f>'ЦФУ Продажи'!AK$59</f>
        <v>0</v>
      </c>
      <c r="AJ148" s="224"/>
      <c r="AK148" s="224"/>
      <c r="AL148" s="2" t="s">
        <v>280</v>
      </c>
    </row>
    <row r="149" spans="1:38" ht="13.5" thickBot="1">
      <c r="A149" s="145"/>
      <c r="B149" s="191" t="s">
        <v>28</v>
      </c>
      <c r="C149" s="192"/>
      <c r="D149" s="192"/>
      <c r="E149" s="192"/>
      <c r="F149" s="193"/>
      <c r="G149" s="149">
        <f>IF(G148&lt;0,G141,G141+G148)</f>
        <v>70.96315789473684</v>
      </c>
      <c r="H149" s="147"/>
      <c r="I149" s="147"/>
      <c r="J149" s="148"/>
      <c r="K149" s="146">
        <f>IF(K148&lt;0,K141,K141+K148)</f>
        <v>31.357894736842105</v>
      </c>
      <c r="L149" s="147"/>
      <c r="M149" s="147"/>
      <c r="N149" s="148"/>
      <c r="O149" s="149">
        <f>IF(O148&lt;0,O141,O141+O148)</f>
        <v>31.357894736842105</v>
      </c>
      <c r="P149" s="147"/>
      <c r="Q149" s="147"/>
      <c r="R149" s="148"/>
      <c r="S149" s="146">
        <f>IF(S148&lt;0,S141,S141+S148)</f>
        <v>31.357894736842105</v>
      </c>
      <c r="T149" s="147"/>
      <c r="U149" s="147"/>
      <c r="V149" s="148"/>
      <c r="W149" s="150">
        <f t="shared" si="6"/>
        <v>165.03684210526313</v>
      </c>
      <c r="X149" s="151"/>
      <c r="Y149" s="151"/>
      <c r="Z149" s="152"/>
      <c r="AA149" s="101">
        <f>IF($AI145&gt;0,IF(AA145&gt;=0,0,G138*($T$2+$T$3+$T$5)/100-AA145),IF(G138&lt;G137,G138*($T$2+$T$3+$T$5)/100,AA145))</f>
        <v>0</v>
      </c>
      <c r="AB149" s="101"/>
      <c r="AC149" s="101">
        <f>IF($AI145&gt;0,IF(AC145&gt;=0,0,K138*($T$2+$T$3+$T$4+$T$5)/100-AC145),IF(K138&lt;K137,K138*($T$2+$T$3+$T$4+$T$5)/100,AC145))</f>
        <v>0</v>
      </c>
      <c r="AD149" s="101"/>
      <c r="AE149" s="101">
        <f>IF($AI145&gt;0,IF(AE145&gt;=0,0,O138*($T$2+$T$3+$T$4+$T$5)/100-AE145),IF(O138&lt;O137,O138*($T$2+$T$3+$T$4+$T$5)/100,AE145))</f>
        <v>0</v>
      </c>
      <c r="AF149" s="101"/>
      <c r="AG149" s="101">
        <f>IF($AI145&gt;0,IF(AG145&gt;=0,0,S138*($T$2+$T$3+$T$4+$T$5)/100-AG145),IF(S138&lt;S137,S138*($T$2+$T$3+$T$4+$T$5)/100,AG145))</f>
        <v>0</v>
      </c>
      <c r="AH149" s="101"/>
      <c r="AI149" s="97">
        <f>SUM(AA149:AH149)</f>
        <v>0</v>
      </c>
      <c r="AJ149" s="98"/>
      <c r="AK149" s="98"/>
      <c r="AL149" s="2" t="s">
        <v>218</v>
      </c>
    </row>
    <row r="150" spans="7:22" ht="12.75">
      <c r="G150" s="136">
        <f>G149/G138*100</f>
        <v>2.027518796992481</v>
      </c>
      <c r="H150" s="136"/>
      <c r="I150" s="136"/>
      <c r="J150" s="136"/>
      <c r="K150" s="136">
        <f>K149/K138*100</f>
        <v>2.2398496240601506</v>
      </c>
      <c r="L150" s="136"/>
      <c r="M150" s="136"/>
      <c r="N150" s="136"/>
      <c r="O150" s="136">
        <f>O149/O138*100</f>
        <v>2.2398496240601506</v>
      </c>
      <c r="P150" s="136"/>
      <c r="Q150" s="136"/>
      <c r="R150" s="136"/>
      <c r="S150" s="136">
        <f>S149/S138*100</f>
        <v>2.2398496240601506</v>
      </c>
      <c r="T150" s="136"/>
      <c r="U150" s="136"/>
      <c r="V150" s="136"/>
    </row>
  </sheetData>
  <mergeCells count="1406">
    <mergeCell ref="AL139:AM139"/>
    <mergeCell ref="AN139:AO139"/>
    <mergeCell ref="AP139:AQ139"/>
    <mergeCell ref="AJ140:AK140"/>
    <mergeCell ref="AL140:AM140"/>
    <mergeCell ref="AN140:AO140"/>
    <mergeCell ref="AP140:AQ140"/>
    <mergeCell ref="AL126:AM126"/>
    <mergeCell ref="AN126:AO126"/>
    <mergeCell ref="AP126:AQ126"/>
    <mergeCell ref="AJ127:AK127"/>
    <mergeCell ref="AL127:AM127"/>
    <mergeCell ref="AN127:AO127"/>
    <mergeCell ref="AP127:AQ127"/>
    <mergeCell ref="AL113:AM113"/>
    <mergeCell ref="AN113:AO113"/>
    <mergeCell ref="AP113:AQ113"/>
    <mergeCell ref="AJ114:AK114"/>
    <mergeCell ref="AL114:AM114"/>
    <mergeCell ref="AN114:AO114"/>
    <mergeCell ref="AP114:AQ114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L87:AM87"/>
    <mergeCell ref="AN87:AO87"/>
    <mergeCell ref="AP87:AQ87"/>
    <mergeCell ref="AJ88:AK88"/>
    <mergeCell ref="AL88:AM88"/>
    <mergeCell ref="AN88:AO88"/>
    <mergeCell ref="AP88:AQ88"/>
    <mergeCell ref="AJ87:AK87"/>
    <mergeCell ref="AL74:AM74"/>
    <mergeCell ref="AN74:AO74"/>
    <mergeCell ref="AP74:AQ74"/>
    <mergeCell ref="AJ75:AK75"/>
    <mergeCell ref="AL75:AM75"/>
    <mergeCell ref="AN75:AO75"/>
    <mergeCell ref="AP75:AQ75"/>
    <mergeCell ref="AJ74:AK74"/>
    <mergeCell ref="AJ62:AK62"/>
    <mergeCell ref="AL62:AM62"/>
    <mergeCell ref="AN62:AO62"/>
    <mergeCell ref="AP62:AQ62"/>
    <mergeCell ref="AJ61:AK61"/>
    <mergeCell ref="AL61:AM61"/>
    <mergeCell ref="AN61:AO61"/>
    <mergeCell ref="AP61:AQ61"/>
    <mergeCell ref="AN48:AO48"/>
    <mergeCell ref="AP48:AQ48"/>
    <mergeCell ref="AJ49:AK49"/>
    <mergeCell ref="AL49:AM49"/>
    <mergeCell ref="AN49:AO49"/>
    <mergeCell ref="AP49:AQ49"/>
    <mergeCell ref="AJ48:AK48"/>
    <mergeCell ref="AL48:AM48"/>
    <mergeCell ref="AN35:AO35"/>
    <mergeCell ref="AP35:AQ35"/>
    <mergeCell ref="AJ36:AK36"/>
    <mergeCell ref="AL36:AM36"/>
    <mergeCell ref="AN36:AO36"/>
    <mergeCell ref="AP36:AQ36"/>
    <mergeCell ref="AJ35:AK35"/>
    <mergeCell ref="AL35:AM35"/>
    <mergeCell ref="AN22:AO22"/>
    <mergeCell ref="AP22:AQ22"/>
    <mergeCell ref="AJ23:AK23"/>
    <mergeCell ref="AL23:AM23"/>
    <mergeCell ref="AN23:AO23"/>
    <mergeCell ref="AP23:AQ23"/>
    <mergeCell ref="AJ22:AK22"/>
    <mergeCell ref="AL22:AM22"/>
    <mergeCell ref="AN9:AO9"/>
    <mergeCell ref="AP9:AQ9"/>
    <mergeCell ref="AJ10:AK10"/>
    <mergeCell ref="AL10:AM10"/>
    <mergeCell ref="AN10:AO10"/>
    <mergeCell ref="AP10:AQ10"/>
    <mergeCell ref="AJ9:AK9"/>
    <mergeCell ref="AL9:AM9"/>
    <mergeCell ref="AI68:AK68"/>
    <mergeCell ref="AI32:AK32"/>
    <mergeCell ref="AI148:AK148"/>
    <mergeCell ref="AI70:AK70"/>
    <mergeCell ref="AI83:AK83"/>
    <mergeCell ref="AI96:AK96"/>
    <mergeCell ref="AI109:AK109"/>
    <mergeCell ref="AG138:AI138"/>
    <mergeCell ref="AG98:AI98"/>
    <mergeCell ref="AG85:AI85"/>
    <mergeCell ref="AI31:AK31"/>
    <mergeCell ref="AI44:AK44"/>
    <mergeCell ref="AI57:AK57"/>
    <mergeCell ref="AG51:AI51"/>
    <mergeCell ref="AI55:AK55"/>
    <mergeCell ref="AI56:AK56"/>
    <mergeCell ref="AA53:AI53"/>
    <mergeCell ref="AA52:AF52"/>
    <mergeCell ref="AG52:AI52"/>
    <mergeCell ref="AG33:AI33"/>
    <mergeCell ref="AA25:AF25"/>
    <mergeCell ref="AA22:AF22"/>
    <mergeCell ref="AA51:AF51"/>
    <mergeCell ref="AA28:AB28"/>
    <mergeCell ref="AA33:AF33"/>
    <mergeCell ref="AA37:AF37"/>
    <mergeCell ref="AA35:AF35"/>
    <mergeCell ref="AA46:AF46"/>
    <mergeCell ref="AA48:AF48"/>
    <mergeCell ref="AA49:AF49"/>
    <mergeCell ref="AA139:AF139"/>
    <mergeCell ref="AA131:AI131"/>
    <mergeCell ref="AA144:AI144"/>
    <mergeCell ref="AG113:AI113"/>
    <mergeCell ref="AI122:AK122"/>
    <mergeCell ref="AI135:AK135"/>
    <mergeCell ref="AJ113:AK113"/>
    <mergeCell ref="AJ126:AK126"/>
    <mergeCell ref="AJ139:AK139"/>
    <mergeCell ref="AG139:AI139"/>
    <mergeCell ref="B27:F27"/>
    <mergeCell ref="G27:J27"/>
    <mergeCell ref="K27:N27"/>
    <mergeCell ref="O27:R27"/>
    <mergeCell ref="B26:F26"/>
    <mergeCell ref="G26:J26"/>
    <mergeCell ref="K25:N25"/>
    <mergeCell ref="O25:R25"/>
    <mergeCell ref="K26:N26"/>
    <mergeCell ref="B25:F25"/>
    <mergeCell ref="G25:J25"/>
    <mergeCell ref="B24:F24"/>
    <mergeCell ref="G24:J24"/>
    <mergeCell ref="B22:F22"/>
    <mergeCell ref="G22:J22"/>
    <mergeCell ref="B23:F23"/>
    <mergeCell ref="G23:J23"/>
    <mergeCell ref="AG21:AI21"/>
    <mergeCell ref="AG10:AI10"/>
    <mergeCell ref="AA12:AF12"/>
    <mergeCell ref="AG12:AI12"/>
    <mergeCell ref="AC17:AD17"/>
    <mergeCell ref="AG13:AI13"/>
    <mergeCell ref="AA14:AD14"/>
    <mergeCell ref="AE14:AI14"/>
    <mergeCell ref="AI18:AK18"/>
    <mergeCell ref="AG17:AH17"/>
    <mergeCell ref="A7:A19"/>
    <mergeCell ref="B21:F21"/>
    <mergeCell ref="G21:J21"/>
    <mergeCell ref="B18:F18"/>
    <mergeCell ref="G18:J18"/>
    <mergeCell ref="B20:F20"/>
    <mergeCell ref="G20:J20"/>
    <mergeCell ref="B7:F7"/>
    <mergeCell ref="G7:J7"/>
    <mergeCell ref="B10:F10"/>
    <mergeCell ref="W20:Z20"/>
    <mergeCell ref="AA20:AF20"/>
    <mergeCell ref="AG20:AI20"/>
    <mergeCell ref="AA11:AF11"/>
    <mergeCell ref="AG11:AI11"/>
    <mergeCell ref="AA16:AB16"/>
    <mergeCell ref="AC16:AD16"/>
    <mergeCell ref="AE16:AF16"/>
    <mergeCell ref="AG16:AH16"/>
    <mergeCell ref="AA17:AB17"/>
    <mergeCell ref="S20:V20"/>
    <mergeCell ref="W10:Z10"/>
    <mergeCell ref="W11:Z11"/>
    <mergeCell ref="W12:Z12"/>
    <mergeCell ref="W13:Z13"/>
    <mergeCell ref="W14:Z14"/>
    <mergeCell ref="W15:Z15"/>
    <mergeCell ref="W16:Z16"/>
    <mergeCell ref="W17:Z17"/>
    <mergeCell ref="W18:Z18"/>
    <mergeCell ref="S19:V19"/>
    <mergeCell ref="W7:Z7"/>
    <mergeCell ref="W8:Z8"/>
    <mergeCell ref="W9:Z9"/>
    <mergeCell ref="W19:Z19"/>
    <mergeCell ref="S9:V9"/>
    <mergeCell ref="O20:R20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K20:N20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K17:N17"/>
    <mergeCell ref="K18:N18"/>
    <mergeCell ref="K19:N19"/>
    <mergeCell ref="O7:R7"/>
    <mergeCell ref="O8:R8"/>
    <mergeCell ref="O9:R9"/>
    <mergeCell ref="O19:R19"/>
    <mergeCell ref="K13:N13"/>
    <mergeCell ref="K14:N14"/>
    <mergeCell ref="K15:N15"/>
    <mergeCell ref="B8:F8"/>
    <mergeCell ref="B11:F11"/>
    <mergeCell ref="G8:J8"/>
    <mergeCell ref="G10:J10"/>
    <mergeCell ref="K16:N16"/>
    <mergeCell ref="K9:N9"/>
    <mergeCell ref="K10:N10"/>
    <mergeCell ref="K11:N11"/>
    <mergeCell ref="K12:N12"/>
    <mergeCell ref="AX1:BA1"/>
    <mergeCell ref="AX2:BA4"/>
    <mergeCell ref="K7:N7"/>
    <mergeCell ref="K8:N8"/>
    <mergeCell ref="S7:V7"/>
    <mergeCell ref="S8:V8"/>
    <mergeCell ref="AA7:AF7"/>
    <mergeCell ref="AG7:AI7"/>
    <mergeCell ref="AA8:AF8"/>
    <mergeCell ref="AG8:AI8"/>
    <mergeCell ref="AL2:AO2"/>
    <mergeCell ref="AL3:AO3"/>
    <mergeCell ref="AL4:AO4"/>
    <mergeCell ref="AT2:AW2"/>
    <mergeCell ref="AT3:AW3"/>
    <mergeCell ref="AT4:AW4"/>
    <mergeCell ref="W1:AG1"/>
    <mergeCell ref="W2:AG4"/>
    <mergeCell ref="G14:J14"/>
    <mergeCell ref="AH2:AK2"/>
    <mergeCell ref="AH3:AK3"/>
    <mergeCell ref="AH4:AK4"/>
    <mergeCell ref="AH1:AW1"/>
    <mergeCell ref="AP2:AS2"/>
    <mergeCell ref="AP3:AS3"/>
    <mergeCell ref="AP4:AS4"/>
    <mergeCell ref="Q3:S3"/>
    <mergeCell ref="T3:V3"/>
    <mergeCell ref="Q4:S4"/>
    <mergeCell ref="T4:V4"/>
    <mergeCell ref="A2:K2"/>
    <mergeCell ref="L2:M2"/>
    <mergeCell ref="N3:P3"/>
    <mergeCell ref="N4:P4"/>
    <mergeCell ref="A3:K3"/>
    <mergeCell ref="L3:M3"/>
    <mergeCell ref="A4:K4"/>
    <mergeCell ref="L4:M4"/>
    <mergeCell ref="B17:F17"/>
    <mergeCell ref="G17:J17"/>
    <mergeCell ref="B9:F9"/>
    <mergeCell ref="G9:J9"/>
    <mergeCell ref="B13:F13"/>
    <mergeCell ref="G13:J13"/>
    <mergeCell ref="B14:F14"/>
    <mergeCell ref="G12:J12"/>
    <mergeCell ref="B12:F12"/>
    <mergeCell ref="G11:J11"/>
    <mergeCell ref="N1:P1"/>
    <mergeCell ref="N2:P2"/>
    <mergeCell ref="Q1:S1"/>
    <mergeCell ref="T1:V1"/>
    <mergeCell ref="Q2:S2"/>
    <mergeCell ref="T2:V2"/>
    <mergeCell ref="B28:F28"/>
    <mergeCell ref="G28:J28"/>
    <mergeCell ref="A1:K1"/>
    <mergeCell ref="L1:M1"/>
    <mergeCell ref="B15:F15"/>
    <mergeCell ref="G15:J15"/>
    <mergeCell ref="G19:J19"/>
    <mergeCell ref="B16:F16"/>
    <mergeCell ref="G16:J16"/>
    <mergeCell ref="B19:F19"/>
    <mergeCell ref="B30:F30"/>
    <mergeCell ref="G30:J30"/>
    <mergeCell ref="B29:F29"/>
    <mergeCell ref="G29:J29"/>
    <mergeCell ref="B32:F32"/>
    <mergeCell ref="G32:J32"/>
    <mergeCell ref="B31:F31"/>
    <mergeCell ref="G31:J31"/>
    <mergeCell ref="B35:F35"/>
    <mergeCell ref="G35:J35"/>
    <mergeCell ref="B33:F33"/>
    <mergeCell ref="G33:J33"/>
    <mergeCell ref="B34:F34"/>
    <mergeCell ref="G34:J34"/>
    <mergeCell ref="B37:F37"/>
    <mergeCell ref="G37:J37"/>
    <mergeCell ref="B36:F36"/>
    <mergeCell ref="G36:J36"/>
    <mergeCell ref="B39:F39"/>
    <mergeCell ref="G39:J39"/>
    <mergeCell ref="B38:F38"/>
    <mergeCell ref="G38:J38"/>
    <mergeCell ref="B41:F41"/>
    <mergeCell ref="G41:J41"/>
    <mergeCell ref="B40:F40"/>
    <mergeCell ref="G40:J40"/>
    <mergeCell ref="B43:F43"/>
    <mergeCell ref="G43:J43"/>
    <mergeCell ref="B42:F42"/>
    <mergeCell ref="G42:J42"/>
    <mergeCell ref="B45:F45"/>
    <mergeCell ref="G45:J45"/>
    <mergeCell ref="B44:F44"/>
    <mergeCell ref="G44:J44"/>
    <mergeCell ref="B47:F47"/>
    <mergeCell ref="G47:J47"/>
    <mergeCell ref="B46:F46"/>
    <mergeCell ref="G46:J46"/>
    <mergeCell ref="B50:F50"/>
    <mergeCell ref="G50:J50"/>
    <mergeCell ref="B49:F49"/>
    <mergeCell ref="G49:J49"/>
    <mergeCell ref="B51:F51"/>
    <mergeCell ref="G51:J51"/>
    <mergeCell ref="K51:N51"/>
    <mergeCell ref="O51:R51"/>
    <mergeCell ref="B52:F52"/>
    <mergeCell ref="G52:J52"/>
    <mergeCell ref="K52:N52"/>
    <mergeCell ref="O52:R52"/>
    <mergeCell ref="B53:F53"/>
    <mergeCell ref="G53:J53"/>
    <mergeCell ref="K53:N53"/>
    <mergeCell ref="O53:R53"/>
    <mergeCell ref="S54:V54"/>
    <mergeCell ref="W54:Z54"/>
    <mergeCell ref="B54:F54"/>
    <mergeCell ref="G54:J54"/>
    <mergeCell ref="K54:N54"/>
    <mergeCell ref="O54:R54"/>
    <mergeCell ref="B56:F56"/>
    <mergeCell ref="G56:J56"/>
    <mergeCell ref="S55:V55"/>
    <mergeCell ref="W55:Z55"/>
    <mergeCell ref="B55:F55"/>
    <mergeCell ref="G55:J55"/>
    <mergeCell ref="K55:N55"/>
    <mergeCell ref="O55:R55"/>
    <mergeCell ref="K56:N56"/>
    <mergeCell ref="O56:R56"/>
    <mergeCell ref="B58:F58"/>
    <mergeCell ref="G58:J58"/>
    <mergeCell ref="B57:F57"/>
    <mergeCell ref="G57:J57"/>
    <mergeCell ref="B60:F60"/>
    <mergeCell ref="G60:J60"/>
    <mergeCell ref="B59:F59"/>
    <mergeCell ref="G59:J59"/>
    <mergeCell ref="B63:F63"/>
    <mergeCell ref="G63:J63"/>
    <mergeCell ref="B61:F61"/>
    <mergeCell ref="G61:J61"/>
    <mergeCell ref="B62:F62"/>
    <mergeCell ref="G62:J62"/>
    <mergeCell ref="B65:F65"/>
    <mergeCell ref="G65:J65"/>
    <mergeCell ref="B64:F64"/>
    <mergeCell ref="G64:J64"/>
    <mergeCell ref="B67:F67"/>
    <mergeCell ref="G67:J67"/>
    <mergeCell ref="B66:F66"/>
    <mergeCell ref="G66:J66"/>
    <mergeCell ref="B69:F69"/>
    <mergeCell ref="G69:J69"/>
    <mergeCell ref="B68:F68"/>
    <mergeCell ref="G68:J68"/>
    <mergeCell ref="B71:F71"/>
    <mergeCell ref="G71:J71"/>
    <mergeCell ref="B70:F70"/>
    <mergeCell ref="G70:J70"/>
    <mergeCell ref="B73:F73"/>
    <mergeCell ref="G73:J73"/>
    <mergeCell ref="B72:F72"/>
    <mergeCell ref="G72:J72"/>
    <mergeCell ref="B75:F75"/>
    <mergeCell ref="G75:J75"/>
    <mergeCell ref="B74:F74"/>
    <mergeCell ref="G74:J74"/>
    <mergeCell ref="B78:F78"/>
    <mergeCell ref="G78:J78"/>
    <mergeCell ref="B77:F77"/>
    <mergeCell ref="G77:J77"/>
    <mergeCell ref="S79:V79"/>
    <mergeCell ref="W79:Z79"/>
    <mergeCell ref="B79:F79"/>
    <mergeCell ref="G79:J79"/>
    <mergeCell ref="K79:N79"/>
    <mergeCell ref="O79:R79"/>
    <mergeCell ref="S80:V80"/>
    <mergeCell ref="W80:Z80"/>
    <mergeCell ref="B80:F80"/>
    <mergeCell ref="G80:J80"/>
    <mergeCell ref="K80:N80"/>
    <mergeCell ref="O80:R80"/>
    <mergeCell ref="S81:V81"/>
    <mergeCell ref="W81:Z81"/>
    <mergeCell ref="B81:F81"/>
    <mergeCell ref="G81:J81"/>
    <mergeCell ref="K81:N81"/>
    <mergeCell ref="O81:R81"/>
    <mergeCell ref="S82:V82"/>
    <mergeCell ref="W82:Z82"/>
    <mergeCell ref="B82:F82"/>
    <mergeCell ref="G82:J82"/>
    <mergeCell ref="K82:N82"/>
    <mergeCell ref="O82:R82"/>
    <mergeCell ref="B84:F84"/>
    <mergeCell ref="G84:J84"/>
    <mergeCell ref="S83:V83"/>
    <mergeCell ref="W83:Z83"/>
    <mergeCell ref="B83:F83"/>
    <mergeCell ref="G83:J83"/>
    <mergeCell ref="K83:N83"/>
    <mergeCell ref="O83:R83"/>
    <mergeCell ref="K84:N84"/>
    <mergeCell ref="O84:R84"/>
    <mergeCell ref="B86:F86"/>
    <mergeCell ref="G86:J86"/>
    <mergeCell ref="B85:F85"/>
    <mergeCell ref="G85:J85"/>
    <mergeCell ref="B88:F88"/>
    <mergeCell ref="G88:J88"/>
    <mergeCell ref="B87:F87"/>
    <mergeCell ref="G87:J87"/>
    <mergeCell ref="B91:F91"/>
    <mergeCell ref="G91:J91"/>
    <mergeCell ref="B89:F89"/>
    <mergeCell ref="G89:J89"/>
    <mergeCell ref="B93:F93"/>
    <mergeCell ref="G93:J93"/>
    <mergeCell ref="B92:F92"/>
    <mergeCell ref="G92:J92"/>
    <mergeCell ref="B95:F95"/>
    <mergeCell ref="G95:J95"/>
    <mergeCell ref="B94:F94"/>
    <mergeCell ref="G94:J94"/>
    <mergeCell ref="B97:F97"/>
    <mergeCell ref="G97:J97"/>
    <mergeCell ref="B96:F96"/>
    <mergeCell ref="G96:J96"/>
    <mergeCell ref="B99:F99"/>
    <mergeCell ref="G99:J99"/>
    <mergeCell ref="B98:F98"/>
    <mergeCell ref="G98:J98"/>
    <mergeCell ref="B101:F101"/>
    <mergeCell ref="G101:J101"/>
    <mergeCell ref="B100:F100"/>
    <mergeCell ref="G100:J100"/>
    <mergeCell ref="B103:F103"/>
    <mergeCell ref="G103:J103"/>
    <mergeCell ref="B102:F102"/>
    <mergeCell ref="G102:J102"/>
    <mergeCell ref="B106:F106"/>
    <mergeCell ref="G106:J106"/>
    <mergeCell ref="B105:F105"/>
    <mergeCell ref="G105:J105"/>
    <mergeCell ref="S107:V107"/>
    <mergeCell ref="W107:Z107"/>
    <mergeCell ref="B107:F107"/>
    <mergeCell ref="G107:J107"/>
    <mergeCell ref="K107:N107"/>
    <mergeCell ref="O107:R107"/>
    <mergeCell ref="S108:V108"/>
    <mergeCell ref="W108:Z108"/>
    <mergeCell ref="B108:F108"/>
    <mergeCell ref="G108:J108"/>
    <mergeCell ref="K108:N108"/>
    <mergeCell ref="O108:R108"/>
    <mergeCell ref="S109:V109"/>
    <mergeCell ref="W109:Z109"/>
    <mergeCell ref="B109:F109"/>
    <mergeCell ref="G109:J109"/>
    <mergeCell ref="K109:N109"/>
    <mergeCell ref="O109:R109"/>
    <mergeCell ref="S110:V110"/>
    <mergeCell ref="W110:Z110"/>
    <mergeCell ref="B110:F110"/>
    <mergeCell ref="G110:J110"/>
    <mergeCell ref="K110:N110"/>
    <mergeCell ref="O110:R110"/>
    <mergeCell ref="B112:F112"/>
    <mergeCell ref="G112:J112"/>
    <mergeCell ref="S111:V111"/>
    <mergeCell ref="W111:Z111"/>
    <mergeCell ref="B111:F111"/>
    <mergeCell ref="G111:J111"/>
    <mergeCell ref="K111:N111"/>
    <mergeCell ref="O111:R111"/>
    <mergeCell ref="K112:N112"/>
    <mergeCell ref="O112:R112"/>
    <mergeCell ref="B114:F114"/>
    <mergeCell ref="G114:J114"/>
    <mergeCell ref="B113:F113"/>
    <mergeCell ref="G113:J113"/>
    <mergeCell ref="B116:F116"/>
    <mergeCell ref="G116:J116"/>
    <mergeCell ref="B115:F115"/>
    <mergeCell ref="G115:J115"/>
    <mergeCell ref="B119:F119"/>
    <mergeCell ref="G119:J119"/>
    <mergeCell ref="B117:F117"/>
    <mergeCell ref="G117:J117"/>
    <mergeCell ref="B118:F118"/>
    <mergeCell ref="G118:J118"/>
    <mergeCell ref="B121:F121"/>
    <mergeCell ref="G121:J121"/>
    <mergeCell ref="B120:F120"/>
    <mergeCell ref="G120:J120"/>
    <mergeCell ref="B123:F123"/>
    <mergeCell ref="G123:J123"/>
    <mergeCell ref="B122:F122"/>
    <mergeCell ref="G122:J122"/>
    <mergeCell ref="B125:F125"/>
    <mergeCell ref="G125:J125"/>
    <mergeCell ref="B124:F124"/>
    <mergeCell ref="G124:J124"/>
    <mergeCell ref="B127:F127"/>
    <mergeCell ref="G127:J127"/>
    <mergeCell ref="B126:F126"/>
    <mergeCell ref="G126:J126"/>
    <mergeCell ref="B129:F129"/>
    <mergeCell ref="G129:J129"/>
    <mergeCell ref="B128:F128"/>
    <mergeCell ref="G128:J128"/>
    <mergeCell ref="B131:F131"/>
    <mergeCell ref="G131:J131"/>
    <mergeCell ref="B130:F130"/>
    <mergeCell ref="G130:J130"/>
    <mergeCell ref="B134:F134"/>
    <mergeCell ref="G134:J134"/>
    <mergeCell ref="B133:F133"/>
    <mergeCell ref="G133:J133"/>
    <mergeCell ref="S135:V135"/>
    <mergeCell ref="W135:Z135"/>
    <mergeCell ref="B135:F135"/>
    <mergeCell ref="G135:J135"/>
    <mergeCell ref="K135:N135"/>
    <mergeCell ref="O135:R135"/>
    <mergeCell ref="S136:V136"/>
    <mergeCell ref="W136:Z136"/>
    <mergeCell ref="B136:F136"/>
    <mergeCell ref="G136:J136"/>
    <mergeCell ref="K136:N136"/>
    <mergeCell ref="O136:R136"/>
    <mergeCell ref="B137:F137"/>
    <mergeCell ref="G137:J137"/>
    <mergeCell ref="K137:N137"/>
    <mergeCell ref="O137:R137"/>
    <mergeCell ref="O138:R138"/>
    <mergeCell ref="W137:Z137"/>
    <mergeCell ref="AA137:AF137"/>
    <mergeCell ref="AG137:AI137"/>
    <mergeCell ref="S137:V137"/>
    <mergeCell ref="AA138:AF138"/>
    <mergeCell ref="S138:V138"/>
    <mergeCell ref="W138:Z138"/>
    <mergeCell ref="B138:F138"/>
    <mergeCell ref="G138:J138"/>
    <mergeCell ref="K138:N138"/>
    <mergeCell ref="B140:F140"/>
    <mergeCell ref="G140:J140"/>
    <mergeCell ref="B139:F139"/>
    <mergeCell ref="G139:J139"/>
    <mergeCell ref="K139:N139"/>
    <mergeCell ref="S139:V139"/>
    <mergeCell ref="W139:Z139"/>
    <mergeCell ref="O140:R140"/>
    <mergeCell ref="S140:V140"/>
    <mergeCell ref="W140:Z140"/>
    <mergeCell ref="O139:R139"/>
    <mergeCell ref="B142:F142"/>
    <mergeCell ref="G142:J142"/>
    <mergeCell ref="B141:F141"/>
    <mergeCell ref="G141:J141"/>
    <mergeCell ref="G145:J145"/>
    <mergeCell ref="B144:F144"/>
    <mergeCell ref="G144:J144"/>
    <mergeCell ref="B143:F143"/>
    <mergeCell ref="G143:J143"/>
    <mergeCell ref="B149:F149"/>
    <mergeCell ref="G149:J149"/>
    <mergeCell ref="B148:F148"/>
    <mergeCell ref="G148:J148"/>
    <mergeCell ref="B147:F147"/>
    <mergeCell ref="G147:J147"/>
    <mergeCell ref="B145:F145"/>
    <mergeCell ref="AA98:AF98"/>
    <mergeCell ref="AA105:AI105"/>
    <mergeCell ref="AA118:AI118"/>
    <mergeCell ref="AA111:AF111"/>
    <mergeCell ref="AG111:AI111"/>
    <mergeCell ref="AG112:AI112"/>
    <mergeCell ref="AA113:AF113"/>
    <mergeCell ref="AA99:AF99"/>
    <mergeCell ref="AG99:AI99"/>
    <mergeCell ref="AA102:AF102"/>
    <mergeCell ref="AG102:AI102"/>
    <mergeCell ref="AA100:AF100"/>
    <mergeCell ref="AG100:AI100"/>
    <mergeCell ref="AA101:AF101"/>
    <mergeCell ref="AG101:AI101"/>
    <mergeCell ref="S51:V51"/>
    <mergeCell ref="W51:Z51"/>
    <mergeCell ref="AA112:AF112"/>
    <mergeCell ref="AA116:AF116"/>
    <mergeCell ref="AA66:AI66"/>
    <mergeCell ref="AA79:AI79"/>
    <mergeCell ref="AA76:AF76"/>
    <mergeCell ref="AG76:AI76"/>
    <mergeCell ref="AA77:AF77"/>
    <mergeCell ref="AG77:AI77"/>
    <mergeCell ref="S53:V53"/>
    <mergeCell ref="W53:Z53"/>
    <mergeCell ref="S52:V52"/>
    <mergeCell ref="W52:Z52"/>
    <mergeCell ref="A6:F6"/>
    <mergeCell ref="G6:J6"/>
    <mergeCell ref="K6:N6"/>
    <mergeCell ref="O6:R6"/>
    <mergeCell ref="W22:Z22"/>
    <mergeCell ref="AA23:AF23"/>
    <mergeCell ref="K21:N21"/>
    <mergeCell ref="O21:R21"/>
    <mergeCell ref="S21:V21"/>
    <mergeCell ref="W21:Z21"/>
    <mergeCell ref="S23:V23"/>
    <mergeCell ref="W23:Z23"/>
    <mergeCell ref="K22:N22"/>
    <mergeCell ref="K23:N23"/>
    <mergeCell ref="O23:R23"/>
    <mergeCell ref="O22:R22"/>
    <mergeCell ref="S22:V22"/>
    <mergeCell ref="K24:N24"/>
    <mergeCell ref="O24:R24"/>
    <mergeCell ref="S24:V24"/>
    <mergeCell ref="W24:Z24"/>
    <mergeCell ref="O26:R26"/>
    <mergeCell ref="S26:V26"/>
    <mergeCell ref="W26:Z26"/>
    <mergeCell ref="S25:V25"/>
    <mergeCell ref="W25:Z25"/>
    <mergeCell ref="S27:V27"/>
    <mergeCell ref="W27:Z27"/>
    <mergeCell ref="K29:N29"/>
    <mergeCell ref="O29:R29"/>
    <mergeCell ref="S29:V29"/>
    <mergeCell ref="W29:Z29"/>
    <mergeCell ref="K28:N28"/>
    <mergeCell ref="O28:R28"/>
    <mergeCell ref="S28:V28"/>
    <mergeCell ref="W28:Z28"/>
    <mergeCell ref="K30:N30"/>
    <mergeCell ref="O30:R30"/>
    <mergeCell ref="S30:V30"/>
    <mergeCell ref="W30:Z30"/>
    <mergeCell ref="K31:N31"/>
    <mergeCell ref="O31:R31"/>
    <mergeCell ref="S31:V31"/>
    <mergeCell ref="W31:Z31"/>
    <mergeCell ref="K32:N32"/>
    <mergeCell ref="O32:R32"/>
    <mergeCell ref="S32:V32"/>
    <mergeCell ref="W32:Z32"/>
    <mergeCell ref="O34:R34"/>
    <mergeCell ref="S34:V34"/>
    <mergeCell ref="W34:Z34"/>
    <mergeCell ref="O33:R33"/>
    <mergeCell ref="S33:V33"/>
    <mergeCell ref="W33:Z33"/>
    <mergeCell ref="AA34:AF34"/>
    <mergeCell ref="AG34:AI34"/>
    <mergeCell ref="K33:N33"/>
    <mergeCell ref="W37:Z37"/>
    <mergeCell ref="K35:N35"/>
    <mergeCell ref="O35:R35"/>
    <mergeCell ref="S35:V35"/>
    <mergeCell ref="W35:Z35"/>
    <mergeCell ref="AG36:AI36"/>
    <mergeCell ref="K34:N34"/>
    <mergeCell ref="AA38:AF38"/>
    <mergeCell ref="AG38:AI38"/>
    <mergeCell ref="AG37:AI37"/>
    <mergeCell ref="K36:N36"/>
    <mergeCell ref="O36:R36"/>
    <mergeCell ref="S36:V36"/>
    <mergeCell ref="W36:Z36"/>
    <mergeCell ref="K37:N37"/>
    <mergeCell ref="O37:R37"/>
    <mergeCell ref="S37:V37"/>
    <mergeCell ref="K38:N38"/>
    <mergeCell ref="O38:R38"/>
    <mergeCell ref="S38:V38"/>
    <mergeCell ref="W38:Z38"/>
    <mergeCell ref="K39:N39"/>
    <mergeCell ref="O39:R39"/>
    <mergeCell ref="S39:V39"/>
    <mergeCell ref="W39:Z39"/>
    <mergeCell ref="K40:N40"/>
    <mergeCell ref="O40:R40"/>
    <mergeCell ref="S40:V40"/>
    <mergeCell ref="W40:Z40"/>
    <mergeCell ref="K41:N41"/>
    <mergeCell ref="O41:R41"/>
    <mergeCell ref="S41:V41"/>
    <mergeCell ref="W41:Z41"/>
    <mergeCell ref="K42:N42"/>
    <mergeCell ref="O42:R42"/>
    <mergeCell ref="S42:V42"/>
    <mergeCell ref="W42:Z42"/>
    <mergeCell ref="K43:N43"/>
    <mergeCell ref="O43:R43"/>
    <mergeCell ref="S43:V43"/>
    <mergeCell ref="W43:Z43"/>
    <mergeCell ref="K44:N44"/>
    <mergeCell ref="O44:R44"/>
    <mergeCell ref="S44:V44"/>
    <mergeCell ref="W44:Z44"/>
    <mergeCell ref="W46:Z46"/>
    <mergeCell ref="K45:N45"/>
    <mergeCell ref="O45:R45"/>
    <mergeCell ref="S45:V45"/>
    <mergeCell ref="W45:Z45"/>
    <mergeCell ref="AG46:AI46"/>
    <mergeCell ref="K47:N47"/>
    <mergeCell ref="O47:R47"/>
    <mergeCell ref="S47:V47"/>
    <mergeCell ref="W47:Z47"/>
    <mergeCell ref="AA47:AF47"/>
    <mergeCell ref="AG47:AI47"/>
    <mergeCell ref="K46:N46"/>
    <mergeCell ref="O46:R46"/>
    <mergeCell ref="S46:V46"/>
    <mergeCell ref="B48:F48"/>
    <mergeCell ref="G48:J48"/>
    <mergeCell ref="K48:N48"/>
    <mergeCell ref="O48:R48"/>
    <mergeCell ref="S48:V48"/>
    <mergeCell ref="W48:Z48"/>
    <mergeCell ref="AG48:AI48"/>
    <mergeCell ref="AG49:AI49"/>
    <mergeCell ref="AA50:AF50"/>
    <mergeCell ref="AG50:AI50"/>
    <mergeCell ref="K49:N49"/>
    <mergeCell ref="O49:R49"/>
    <mergeCell ref="S49:V49"/>
    <mergeCell ref="K50:N50"/>
    <mergeCell ref="O50:R50"/>
    <mergeCell ref="S50:V50"/>
    <mergeCell ref="W50:Z50"/>
    <mergeCell ref="W49:Z49"/>
    <mergeCell ref="S56:V56"/>
    <mergeCell ref="W56:Z56"/>
    <mergeCell ref="K57:N57"/>
    <mergeCell ref="O57:R57"/>
    <mergeCell ref="S57:V57"/>
    <mergeCell ref="W57:Z57"/>
    <mergeCell ref="W59:Z59"/>
    <mergeCell ref="K58:N58"/>
    <mergeCell ref="O58:R58"/>
    <mergeCell ref="S58:V58"/>
    <mergeCell ref="W58:Z58"/>
    <mergeCell ref="AG59:AI59"/>
    <mergeCell ref="K60:N60"/>
    <mergeCell ref="O60:R60"/>
    <mergeCell ref="S60:V60"/>
    <mergeCell ref="W60:Z60"/>
    <mergeCell ref="AA60:AF60"/>
    <mergeCell ref="AG60:AI60"/>
    <mergeCell ref="K59:N59"/>
    <mergeCell ref="O59:R59"/>
    <mergeCell ref="S59:V59"/>
    <mergeCell ref="S63:V63"/>
    <mergeCell ref="W63:Z63"/>
    <mergeCell ref="K61:N61"/>
    <mergeCell ref="O61:R61"/>
    <mergeCell ref="S61:V61"/>
    <mergeCell ref="W61:Z61"/>
    <mergeCell ref="K63:N63"/>
    <mergeCell ref="O63:R63"/>
    <mergeCell ref="K62:N62"/>
    <mergeCell ref="O62:R62"/>
    <mergeCell ref="AA61:AF61"/>
    <mergeCell ref="AG61:AI61"/>
    <mergeCell ref="S62:V62"/>
    <mergeCell ref="W62:Z62"/>
    <mergeCell ref="AA62:AF62"/>
    <mergeCell ref="AG62:AI62"/>
    <mergeCell ref="K64:N64"/>
    <mergeCell ref="O64:R64"/>
    <mergeCell ref="S64:V64"/>
    <mergeCell ref="W64:Z64"/>
    <mergeCell ref="K65:N65"/>
    <mergeCell ref="O65:R65"/>
    <mergeCell ref="S65:V65"/>
    <mergeCell ref="W65:Z65"/>
    <mergeCell ref="K66:N66"/>
    <mergeCell ref="O66:R66"/>
    <mergeCell ref="S66:V66"/>
    <mergeCell ref="W66:Z66"/>
    <mergeCell ref="K67:N67"/>
    <mergeCell ref="O67:R67"/>
    <mergeCell ref="S67:V67"/>
    <mergeCell ref="W67:Z67"/>
    <mergeCell ref="K68:N68"/>
    <mergeCell ref="O68:R68"/>
    <mergeCell ref="S68:V68"/>
    <mergeCell ref="W68:Z68"/>
    <mergeCell ref="K69:N69"/>
    <mergeCell ref="O69:R69"/>
    <mergeCell ref="S69:V69"/>
    <mergeCell ref="W69:Z69"/>
    <mergeCell ref="K70:N70"/>
    <mergeCell ref="O70:R70"/>
    <mergeCell ref="S70:V70"/>
    <mergeCell ref="W70:Z70"/>
    <mergeCell ref="K71:N71"/>
    <mergeCell ref="O71:R71"/>
    <mergeCell ref="S71:V71"/>
    <mergeCell ref="W71:Z71"/>
    <mergeCell ref="A20:A32"/>
    <mergeCell ref="A33:A45"/>
    <mergeCell ref="A46:A58"/>
    <mergeCell ref="A59:A71"/>
    <mergeCell ref="A72:A84"/>
    <mergeCell ref="K72:N72"/>
    <mergeCell ref="O72:R72"/>
    <mergeCell ref="S72:V72"/>
    <mergeCell ref="K74:N74"/>
    <mergeCell ref="O74:R74"/>
    <mergeCell ref="S74:V74"/>
    <mergeCell ref="B76:F76"/>
    <mergeCell ref="G76:J76"/>
    <mergeCell ref="K76:N76"/>
    <mergeCell ref="W72:Z72"/>
    <mergeCell ref="AA72:AF72"/>
    <mergeCell ref="AG72:AI72"/>
    <mergeCell ref="K73:N73"/>
    <mergeCell ref="O73:R73"/>
    <mergeCell ref="S73:V73"/>
    <mergeCell ref="W73:Z73"/>
    <mergeCell ref="AA73:AF73"/>
    <mergeCell ref="AG73:AI73"/>
    <mergeCell ref="K75:N75"/>
    <mergeCell ref="O75:R75"/>
    <mergeCell ref="S75:V75"/>
    <mergeCell ref="W75:Z75"/>
    <mergeCell ref="W77:Z77"/>
    <mergeCell ref="W74:Z74"/>
    <mergeCell ref="AA74:AF74"/>
    <mergeCell ref="AG74:AI74"/>
    <mergeCell ref="AA75:AF75"/>
    <mergeCell ref="AG75:AI75"/>
    <mergeCell ref="O76:R76"/>
    <mergeCell ref="S76:V76"/>
    <mergeCell ref="W76:Z76"/>
    <mergeCell ref="K78:N78"/>
    <mergeCell ref="O78:R78"/>
    <mergeCell ref="S78:V78"/>
    <mergeCell ref="W78:Z78"/>
    <mergeCell ref="K77:N77"/>
    <mergeCell ref="O77:R77"/>
    <mergeCell ref="S77:V77"/>
    <mergeCell ref="S84:V84"/>
    <mergeCell ref="W84:Z84"/>
    <mergeCell ref="A85:A97"/>
    <mergeCell ref="K85:N85"/>
    <mergeCell ref="O85:R85"/>
    <mergeCell ref="S85:V85"/>
    <mergeCell ref="K87:N87"/>
    <mergeCell ref="O87:R87"/>
    <mergeCell ref="S87:V87"/>
    <mergeCell ref="K89:N89"/>
    <mergeCell ref="AA85:AF85"/>
    <mergeCell ref="W87:Z87"/>
    <mergeCell ref="AA87:AF87"/>
    <mergeCell ref="W89:Z89"/>
    <mergeCell ref="AA89:AF89"/>
    <mergeCell ref="AA86:AF86"/>
    <mergeCell ref="S86:V86"/>
    <mergeCell ref="W86:Z86"/>
    <mergeCell ref="S89:V89"/>
    <mergeCell ref="W85:Z85"/>
    <mergeCell ref="AG86:AI86"/>
    <mergeCell ref="AG87:AI87"/>
    <mergeCell ref="K88:N88"/>
    <mergeCell ref="O88:R88"/>
    <mergeCell ref="S88:V88"/>
    <mergeCell ref="W88:Z88"/>
    <mergeCell ref="AA88:AF88"/>
    <mergeCell ref="AG88:AI88"/>
    <mergeCell ref="K86:N86"/>
    <mergeCell ref="O86:R86"/>
    <mergeCell ref="AG89:AI89"/>
    <mergeCell ref="B90:F90"/>
    <mergeCell ref="G90:J90"/>
    <mergeCell ref="K90:N90"/>
    <mergeCell ref="O90:R90"/>
    <mergeCell ref="S90:V90"/>
    <mergeCell ref="W90:Z90"/>
    <mergeCell ref="AA90:AF90"/>
    <mergeCell ref="AG90:AI90"/>
    <mergeCell ref="O89:R89"/>
    <mergeCell ref="K91:N91"/>
    <mergeCell ref="O91:R91"/>
    <mergeCell ref="S91:V91"/>
    <mergeCell ref="W91:Z91"/>
    <mergeCell ref="K92:N92"/>
    <mergeCell ref="O92:R92"/>
    <mergeCell ref="S92:V92"/>
    <mergeCell ref="W92:Z92"/>
    <mergeCell ref="K93:N93"/>
    <mergeCell ref="O93:R93"/>
    <mergeCell ref="S93:V93"/>
    <mergeCell ref="W93:Z93"/>
    <mergeCell ref="K94:N94"/>
    <mergeCell ref="O94:R94"/>
    <mergeCell ref="S94:V94"/>
    <mergeCell ref="W94:Z94"/>
    <mergeCell ref="K95:N95"/>
    <mergeCell ref="O95:R95"/>
    <mergeCell ref="S95:V95"/>
    <mergeCell ref="W95:Z95"/>
    <mergeCell ref="K96:N96"/>
    <mergeCell ref="O96:R96"/>
    <mergeCell ref="S96:V96"/>
    <mergeCell ref="W96:Z96"/>
    <mergeCell ref="S98:V98"/>
    <mergeCell ref="W98:Z98"/>
    <mergeCell ref="K97:N97"/>
    <mergeCell ref="O97:R97"/>
    <mergeCell ref="S97:V97"/>
    <mergeCell ref="W97:Z97"/>
    <mergeCell ref="K98:N98"/>
    <mergeCell ref="O98:R98"/>
    <mergeCell ref="K99:N99"/>
    <mergeCell ref="O99:R99"/>
    <mergeCell ref="S99:V99"/>
    <mergeCell ref="W99:Z99"/>
    <mergeCell ref="K100:N100"/>
    <mergeCell ref="O100:R100"/>
    <mergeCell ref="S100:V100"/>
    <mergeCell ref="W100:Z100"/>
    <mergeCell ref="K101:N101"/>
    <mergeCell ref="O101:R101"/>
    <mergeCell ref="S101:V101"/>
    <mergeCell ref="W101:Z101"/>
    <mergeCell ref="AG103:AI103"/>
    <mergeCell ref="K102:N102"/>
    <mergeCell ref="O102:R102"/>
    <mergeCell ref="K103:N103"/>
    <mergeCell ref="O103:R103"/>
    <mergeCell ref="S103:V103"/>
    <mergeCell ref="W103:Z103"/>
    <mergeCell ref="S102:V102"/>
    <mergeCell ref="W102:Z102"/>
    <mergeCell ref="AA103:AF103"/>
    <mergeCell ref="B104:F104"/>
    <mergeCell ref="G104:J104"/>
    <mergeCell ref="K104:N104"/>
    <mergeCell ref="O104:R104"/>
    <mergeCell ref="S104:V104"/>
    <mergeCell ref="W104:Z104"/>
    <mergeCell ref="K105:N105"/>
    <mergeCell ref="O105:R105"/>
    <mergeCell ref="S105:V105"/>
    <mergeCell ref="W105:Z105"/>
    <mergeCell ref="K106:N106"/>
    <mergeCell ref="O106:R106"/>
    <mergeCell ref="S106:V106"/>
    <mergeCell ref="W106:Z106"/>
    <mergeCell ref="K113:N113"/>
    <mergeCell ref="O113:R113"/>
    <mergeCell ref="S113:V113"/>
    <mergeCell ref="W113:Z113"/>
    <mergeCell ref="S112:V112"/>
    <mergeCell ref="O114:R114"/>
    <mergeCell ref="S114:V114"/>
    <mergeCell ref="W114:Z114"/>
    <mergeCell ref="W112:Z112"/>
    <mergeCell ref="AA114:AF114"/>
    <mergeCell ref="AG114:AI114"/>
    <mergeCell ref="K115:N115"/>
    <mergeCell ref="O115:R115"/>
    <mergeCell ref="S115:V115"/>
    <mergeCell ref="W115:Z115"/>
    <mergeCell ref="AA115:AF115"/>
    <mergeCell ref="AG115:AI115"/>
    <mergeCell ref="K114:N114"/>
    <mergeCell ref="AG116:AI116"/>
    <mergeCell ref="K117:N117"/>
    <mergeCell ref="O117:R117"/>
    <mergeCell ref="S117:V117"/>
    <mergeCell ref="W117:Z117"/>
    <mergeCell ref="K116:N116"/>
    <mergeCell ref="O116:R116"/>
    <mergeCell ref="S116:V116"/>
    <mergeCell ref="W116:Z116"/>
    <mergeCell ref="K118:N118"/>
    <mergeCell ref="O118:R118"/>
    <mergeCell ref="S118:V118"/>
    <mergeCell ref="W118:Z118"/>
    <mergeCell ref="K119:N119"/>
    <mergeCell ref="O119:R119"/>
    <mergeCell ref="S119:V119"/>
    <mergeCell ref="W119:Z119"/>
    <mergeCell ref="K120:N120"/>
    <mergeCell ref="O120:R120"/>
    <mergeCell ref="S120:V120"/>
    <mergeCell ref="W120:Z120"/>
    <mergeCell ref="K121:N121"/>
    <mergeCell ref="O121:R121"/>
    <mergeCell ref="S121:V121"/>
    <mergeCell ref="W121:Z121"/>
    <mergeCell ref="K122:N122"/>
    <mergeCell ref="O122:R122"/>
    <mergeCell ref="S122:V122"/>
    <mergeCell ref="W122:Z122"/>
    <mergeCell ref="K123:N123"/>
    <mergeCell ref="O123:R123"/>
    <mergeCell ref="S123:V123"/>
    <mergeCell ref="W123:Z123"/>
    <mergeCell ref="A124:A136"/>
    <mergeCell ref="K124:N124"/>
    <mergeCell ref="O124:R124"/>
    <mergeCell ref="S124:V124"/>
    <mergeCell ref="K126:N126"/>
    <mergeCell ref="O126:R126"/>
    <mergeCell ref="S126:V126"/>
    <mergeCell ref="K128:N128"/>
    <mergeCell ref="O128:R128"/>
    <mergeCell ref="S128:V128"/>
    <mergeCell ref="W124:Z124"/>
    <mergeCell ref="AA124:AF124"/>
    <mergeCell ref="AG124:AI124"/>
    <mergeCell ref="K125:N125"/>
    <mergeCell ref="O125:R125"/>
    <mergeCell ref="S125:V125"/>
    <mergeCell ref="W125:Z125"/>
    <mergeCell ref="AA125:AF125"/>
    <mergeCell ref="AG125:AI125"/>
    <mergeCell ref="W126:Z126"/>
    <mergeCell ref="AA126:AF126"/>
    <mergeCell ref="AG126:AI126"/>
    <mergeCell ref="K127:N127"/>
    <mergeCell ref="O127:R127"/>
    <mergeCell ref="S127:V127"/>
    <mergeCell ref="W127:Z127"/>
    <mergeCell ref="AA127:AF127"/>
    <mergeCell ref="AG127:AI127"/>
    <mergeCell ref="W128:Z128"/>
    <mergeCell ref="AA128:AF128"/>
    <mergeCell ref="AG128:AI128"/>
    <mergeCell ref="K129:N129"/>
    <mergeCell ref="O129:R129"/>
    <mergeCell ref="S129:V129"/>
    <mergeCell ref="W129:Z129"/>
    <mergeCell ref="AA129:AF129"/>
    <mergeCell ref="AG129:AI129"/>
    <mergeCell ref="K130:N130"/>
    <mergeCell ref="O130:R130"/>
    <mergeCell ref="S130:V130"/>
    <mergeCell ref="W130:Z130"/>
    <mergeCell ref="K131:N131"/>
    <mergeCell ref="O131:R131"/>
    <mergeCell ref="S131:V131"/>
    <mergeCell ref="W131:Z131"/>
    <mergeCell ref="B132:F132"/>
    <mergeCell ref="G132:J132"/>
    <mergeCell ref="K132:N132"/>
    <mergeCell ref="O132:R132"/>
    <mergeCell ref="S132:V132"/>
    <mergeCell ref="W132:Z132"/>
    <mergeCell ref="K133:N133"/>
    <mergeCell ref="O133:R133"/>
    <mergeCell ref="S133:V133"/>
    <mergeCell ref="W133:Z133"/>
    <mergeCell ref="K134:N134"/>
    <mergeCell ref="O134:R134"/>
    <mergeCell ref="S134:V134"/>
    <mergeCell ref="W134:Z134"/>
    <mergeCell ref="AA140:AF140"/>
    <mergeCell ref="AG140:AI140"/>
    <mergeCell ref="K141:N141"/>
    <mergeCell ref="O141:R141"/>
    <mergeCell ref="S141:V141"/>
    <mergeCell ref="W141:Z141"/>
    <mergeCell ref="AA141:AF141"/>
    <mergeCell ref="AG141:AI141"/>
    <mergeCell ref="K140:N140"/>
    <mergeCell ref="AA142:AF142"/>
    <mergeCell ref="AG142:AI142"/>
    <mergeCell ref="K143:N143"/>
    <mergeCell ref="O143:R143"/>
    <mergeCell ref="S143:V143"/>
    <mergeCell ref="W143:Z143"/>
    <mergeCell ref="K142:N142"/>
    <mergeCell ref="O142:R142"/>
    <mergeCell ref="S142:V142"/>
    <mergeCell ref="W142:Z142"/>
    <mergeCell ref="K144:N144"/>
    <mergeCell ref="O144:R144"/>
    <mergeCell ref="S144:V144"/>
    <mergeCell ref="W144:Z144"/>
    <mergeCell ref="K145:N145"/>
    <mergeCell ref="O145:R145"/>
    <mergeCell ref="S145:V145"/>
    <mergeCell ref="W145:Z145"/>
    <mergeCell ref="B146:F146"/>
    <mergeCell ref="G146:J146"/>
    <mergeCell ref="K146:N146"/>
    <mergeCell ref="O146:R146"/>
    <mergeCell ref="W148:Z148"/>
    <mergeCell ref="S146:V146"/>
    <mergeCell ref="W146:Z146"/>
    <mergeCell ref="K147:N147"/>
    <mergeCell ref="O147:R147"/>
    <mergeCell ref="S147:V147"/>
    <mergeCell ref="W147:Z147"/>
    <mergeCell ref="A98:A110"/>
    <mergeCell ref="A111:A123"/>
    <mergeCell ref="A137:A149"/>
    <mergeCell ref="AA27:AI27"/>
    <mergeCell ref="AA40:AI40"/>
    <mergeCell ref="K149:N149"/>
    <mergeCell ref="O149:R149"/>
    <mergeCell ref="S149:V149"/>
    <mergeCell ref="W149:Z149"/>
    <mergeCell ref="AI42:AK42"/>
    <mergeCell ref="AG26:AI26"/>
    <mergeCell ref="K148:N148"/>
    <mergeCell ref="O148:R148"/>
    <mergeCell ref="S148:V148"/>
    <mergeCell ref="AG29:AH29"/>
    <mergeCell ref="AA29:AB29"/>
    <mergeCell ref="AC29:AD29"/>
    <mergeCell ref="AE29:AF29"/>
    <mergeCell ref="AE55:AF55"/>
    <mergeCell ref="AG55:AH55"/>
    <mergeCell ref="G150:J150"/>
    <mergeCell ref="K150:N150"/>
    <mergeCell ref="O150:R150"/>
    <mergeCell ref="S150:V150"/>
    <mergeCell ref="AG23:AI23"/>
    <mergeCell ref="AA24:AF24"/>
    <mergeCell ref="AG24:AI24"/>
    <mergeCell ref="AG22:AI22"/>
    <mergeCell ref="AA19:AB19"/>
    <mergeCell ref="AC19:AD19"/>
    <mergeCell ref="AE19:AF19"/>
    <mergeCell ref="AG19:AH19"/>
    <mergeCell ref="AA21:AF21"/>
    <mergeCell ref="AG42:AH42"/>
    <mergeCell ref="AI29:AK29"/>
    <mergeCell ref="AA30:AB30"/>
    <mergeCell ref="AC30:AD30"/>
    <mergeCell ref="AE30:AF30"/>
    <mergeCell ref="AG30:AH30"/>
    <mergeCell ref="AI30:AK30"/>
    <mergeCell ref="AG35:AI35"/>
    <mergeCell ref="AA36:AF36"/>
    <mergeCell ref="AA43:AB43"/>
    <mergeCell ref="AC43:AD43"/>
    <mergeCell ref="AE43:AF43"/>
    <mergeCell ref="AG43:AH43"/>
    <mergeCell ref="AI43:AK43"/>
    <mergeCell ref="AA42:AB42"/>
    <mergeCell ref="AC42:AD42"/>
    <mergeCell ref="AA56:AB56"/>
    <mergeCell ref="AC56:AD56"/>
    <mergeCell ref="AE56:AF56"/>
    <mergeCell ref="AG56:AH56"/>
    <mergeCell ref="AA55:AB55"/>
    <mergeCell ref="AC55:AD55"/>
    <mergeCell ref="AE45:AF45"/>
    <mergeCell ref="AE81:AF81"/>
    <mergeCell ref="AG81:AH81"/>
    <mergeCell ref="AA68:AB68"/>
    <mergeCell ref="AC68:AD68"/>
    <mergeCell ref="AE68:AF68"/>
    <mergeCell ref="AG68:AH68"/>
    <mergeCell ref="AC81:AD81"/>
    <mergeCell ref="AA69:AB69"/>
    <mergeCell ref="AC69:AD69"/>
    <mergeCell ref="AE69:AF69"/>
    <mergeCell ref="AA58:AB58"/>
    <mergeCell ref="AC58:AD58"/>
    <mergeCell ref="AG94:AH94"/>
    <mergeCell ref="AI81:AK81"/>
    <mergeCell ref="AA82:AB82"/>
    <mergeCell ref="AC82:AD82"/>
    <mergeCell ref="AE82:AF82"/>
    <mergeCell ref="AG82:AH82"/>
    <mergeCell ref="AI82:AK82"/>
    <mergeCell ref="AA81:AB81"/>
    <mergeCell ref="AA92:AI92"/>
    <mergeCell ref="AG107:AH107"/>
    <mergeCell ref="AI94:AK94"/>
    <mergeCell ref="AA95:AB95"/>
    <mergeCell ref="AC95:AD95"/>
    <mergeCell ref="AE95:AF95"/>
    <mergeCell ref="AG95:AH95"/>
    <mergeCell ref="AI95:AK95"/>
    <mergeCell ref="AA94:AB94"/>
    <mergeCell ref="AC94:AD94"/>
    <mergeCell ref="AE94:AF94"/>
    <mergeCell ref="AG120:AH120"/>
    <mergeCell ref="AI107:AK107"/>
    <mergeCell ref="AA108:AB108"/>
    <mergeCell ref="AC108:AD108"/>
    <mergeCell ref="AE108:AF108"/>
    <mergeCell ref="AG108:AH108"/>
    <mergeCell ref="AI108:AK108"/>
    <mergeCell ref="AA107:AB107"/>
    <mergeCell ref="AC107:AD107"/>
    <mergeCell ref="AE107:AF107"/>
    <mergeCell ref="AG133:AH133"/>
    <mergeCell ref="AI120:AK120"/>
    <mergeCell ref="AA121:AB121"/>
    <mergeCell ref="AC121:AD121"/>
    <mergeCell ref="AE121:AF121"/>
    <mergeCell ref="AG121:AH121"/>
    <mergeCell ref="AI121:AK121"/>
    <mergeCell ref="AA120:AB120"/>
    <mergeCell ref="AC120:AD120"/>
    <mergeCell ref="AE120:AF120"/>
    <mergeCell ref="AG146:AH146"/>
    <mergeCell ref="AI133:AK133"/>
    <mergeCell ref="AA134:AB134"/>
    <mergeCell ref="AC134:AD134"/>
    <mergeCell ref="AE134:AF134"/>
    <mergeCell ref="AG134:AH134"/>
    <mergeCell ref="AI134:AK134"/>
    <mergeCell ref="AA133:AB133"/>
    <mergeCell ref="AC133:AD133"/>
    <mergeCell ref="AE133:AF133"/>
    <mergeCell ref="AQ130:AR130"/>
    <mergeCell ref="AI146:AK146"/>
    <mergeCell ref="AA147:AB147"/>
    <mergeCell ref="AC147:AD147"/>
    <mergeCell ref="AE147:AF147"/>
    <mergeCell ref="AG147:AH147"/>
    <mergeCell ref="AI147:AK147"/>
    <mergeCell ref="AA146:AB146"/>
    <mergeCell ref="AC146:AD146"/>
    <mergeCell ref="AE146:AF146"/>
    <mergeCell ref="T5:V5"/>
    <mergeCell ref="Q5:S5"/>
    <mergeCell ref="AA15:AB15"/>
    <mergeCell ref="AC15:AD15"/>
    <mergeCell ref="AA13:AF13"/>
    <mergeCell ref="S6:V6"/>
    <mergeCell ref="W6:Z6"/>
    <mergeCell ref="AA6:AI6"/>
    <mergeCell ref="AA9:AF9"/>
    <mergeCell ref="AG9:AI9"/>
    <mergeCell ref="AE15:AF15"/>
    <mergeCell ref="AG15:AH15"/>
    <mergeCell ref="AI15:AK15"/>
    <mergeCell ref="AA10:AF10"/>
    <mergeCell ref="AI19:AK19"/>
    <mergeCell ref="AI16:AK16"/>
    <mergeCell ref="AC28:AD28"/>
    <mergeCell ref="AE28:AF28"/>
    <mergeCell ref="AG28:AH28"/>
    <mergeCell ref="AI28:AK28"/>
    <mergeCell ref="AG25:AI25"/>
    <mergeCell ref="AA26:AF26"/>
    <mergeCell ref="AI17:AK17"/>
    <mergeCell ref="AE17:AF17"/>
    <mergeCell ref="AA32:AB32"/>
    <mergeCell ref="AC32:AD32"/>
    <mergeCell ref="AE32:AF32"/>
    <mergeCell ref="AG32:AH32"/>
    <mergeCell ref="AG45:AH45"/>
    <mergeCell ref="AA39:AF39"/>
    <mergeCell ref="AG39:AI39"/>
    <mergeCell ref="AA41:AB41"/>
    <mergeCell ref="AC41:AD41"/>
    <mergeCell ref="AE41:AF41"/>
    <mergeCell ref="AG41:AH41"/>
    <mergeCell ref="AI41:AK41"/>
    <mergeCell ref="AE42:AF42"/>
    <mergeCell ref="AI45:AK45"/>
    <mergeCell ref="AI54:AK54"/>
    <mergeCell ref="AA45:AB45"/>
    <mergeCell ref="AC45:AD45"/>
    <mergeCell ref="AE58:AF58"/>
    <mergeCell ref="AG58:AH58"/>
    <mergeCell ref="AI58:AK58"/>
    <mergeCell ref="AA54:AB54"/>
    <mergeCell ref="AC54:AD54"/>
    <mergeCell ref="AE54:AF54"/>
    <mergeCell ref="AG54:AH54"/>
    <mergeCell ref="AA65:AF65"/>
    <mergeCell ref="AG65:AI65"/>
    <mergeCell ref="AA63:AF63"/>
    <mergeCell ref="AG63:AI63"/>
    <mergeCell ref="AA64:AF64"/>
    <mergeCell ref="AG64:AI64"/>
    <mergeCell ref="AA59:AF59"/>
    <mergeCell ref="AI67:AK67"/>
    <mergeCell ref="AA71:AB71"/>
    <mergeCell ref="AC71:AD71"/>
    <mergeCell ref="AE71:AF71"/>
    <mergeCell ref="AG71:AH71"/>
    <mergeCell ref="AI71:AK71"/>
    <mergeCell ref="AA67:AB67"/>
    <mergeCell ref="AC67:AD67"/>
    <mergeCell ref="AE67:AF67"/>
    <mergeCell ref="AG67:AH67"/>
    <mergeCell ref="AA78:AF78"/>
    <mergeCell ref="AG78:AI78"/>
    <mergeCell ref="AA80:AB80"/>
    <mergeCell ref="AC80:AD80"/>
    <mergeCell ref="AE80:AF80"/>
    <mergeCell ref="AG80:AH80"/>
    <mergeCell ref="AI80:AK80"/>
    <mergeCell ref="AG69:AH69"/>
    <mergeCell ref="AI69:AK69"/>
    <mergeCell ref="AA84:AB84"/>
    <mergeCell ref="AC84:AD84"/>
    <mergeCell ref="AE84:AF84"/>
    <mergeCell ref="AG84:AH84"/>
    <mergeCell ref="AE97:AF97"/>
    <mergeCell ref="AG97:AH97"/>
    <mergeCell ref="AI84:AK84"/>
    <mergeCell ref="AA91:AF91"/>
    <mergeCell ref="AG91:AI91"/>
    <mergeCell ref="AA93:AB93"/>
    <mergeCell ref="AC93:AD93"/>
    <mergeCell ref="AE93:AF93"/>
    <mergeCell ref="AG93:AH93"/>
    <mergeCell ref="AI93:AK93"/>
    <mergeCell ref="AI97:AK97"/>
    <mergeCell ref="AA104:AF104"/>
    <mergeCell ref="AG104:AI104"/>
    <mergeCell ref="AA106:AB106"/>
    <mergeCell ref="AC106:AD106"/>
    <mergeCell ref="AE106:AF106"/>
    <mergeCell ref="AG106:AH106"/>
    <mergeCell ref="AI106:AK106"/>
    <mergeCell ref="AA97:AB97"/>
    <mergeCell ref="AC97:AD97"/>
    <mergeCell ref="AA110:AB110"/>
    <mergeCell ref="AC110:AD110"/>
    <mergeCell ref="AE110:AF110"/>
    <mergeCell ref="AG110:AH110"/>
    <mergeCell ref="AE123:AF123"/>
    <mergeCell ref="AG123:AH123"/>
    <mergeCell ref="AI110:AK110"/>
    <mergeCell ref="AA117:AF117"/>
    <mergeCell ref="AG117:AI117"/>
    <mergeCell ref="AA119:AB119"/>
    <mergeCell ref="AC119:AD119"/>
    <mergeCell ref="AE119:AF119"/>
    <mergeCell ref="AG119:AH119"/>
    <mergeCell ref="AI119:AK119"/>
    <mergeCell ref="AI123:AK123"/>
    <mergeCell ref="AA130:AF130"/>
    <mergeCell ref="AG130:AI130"/>
    <mergeCell ref="AA132:AB132"/>
    <mergeCell ref="AC132:AD132"/>
    <mergeCell ref="AE132:AF132"/>
    <mergeCell ref="AG132:AH132"/>
    <mergeCell ref="AI132:AK132"/>
    <mergeCell ref="AA123:AB123"/>
    <mergeCell ref="AC123:AD123"/>
    <mergeCell ref="AA136:AB136"/>
    <mergeCell ref="AC136:AD136"/>
    <mergeCell ref="AE136:AF136"/>
    <mergeCell ref="AG136:AH136"/>
    <mergeCell ref="AC145:AD145"/>
    <mergeCell ref="AE145:AF145"/>
    <mergeCell ref="AG145:AH145"/>
    <mergeCell ref="AI145:AK145"/>
    <mergeCell ref="AI149:AK149"/>
    <mergeCell ref="AJ27:AL27"/>
    <mergeCell ref="AA149:AB149"/>
    <mergeCell ref="AC149:AD149"/>
    <mergeCell ref="AE149:AF149"/>
    <mergeCell ref="AG149:AH149"/>
    <mergeCell ref="AI136:AK136"/>
    <mergeCell ref="AA143:AF143"/>
    <mergeCell ref="AG143:AI143"/>
    <mergeCell ref="AA145:AB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49"/>
  <sheetViews>
    <sheetView workbookViewId="0" topLeftCell="A1">
      <pane xSplit="1" ySplit="6" topLeftCell="B7" activePane="bottomRight" state="frozen"/>
      <selection pane="topLeft" activeCell="A88" sqref="A88:F88"/>
      <selection pane="topRight" activeCell="A88" sqref="A88:F88"/>
      <selection pane="bottomLeft" activeCell="A88" sqref="A88:F88"/>
      <selection pane="bottomRight" activeCell="AA7" sqref="AA7:AF7"/>
    </sheetView>
  </sheetViews>
  <sheetFormatPr defaultColWidth="9.00390625" defaultRowHeight="12.75"/>
  <cols>
    <col min="1" max="1" width="3.125" style="2" customWidth="1"/>
    <col min="2" max="27" width="3.25390625" style="2" customWidth="1"/>
    <col min="28" max="28" width="4.875" style="2" customWidth="1"/>
    <col min="29" max="29" width="3.25390625" style="2" customWidth="1"/>
    <col min="30" max="30" width="5.375" style="2" customWidth="1"/>
    <col min="31" max="31" width="3.75390625" style="2" customWidth="1"/>
    <col min="32" max="32" width="4.75390625" style="2" customWidth="1"/>
    <col min="33" max="33" width="3.625" style="2" customWidth="1"/>
    <col min="34" max="34" width="4.25390625" style="2" customWidth="1"/>
    <col min="35" max="36" width="3.25390625" style="2" customWidth="1"/>
    <col min="37" max="37" width="5.25390625" style="2" customWidth="1"/>
    <col min="38" max="38" width="3.25390625" style="2" customWidth="1"/>
    <col min="39" max="39" width="4.875" style="2" customWidth="1"/>
    <col min="40" max="40" width="3.25390625" style="2" customWidth="1"/>
    <col min="41" max="41" width="4.75390625" style="2" customWidth="1"/>
    <col min="42" max="42" width="3.25390625" style="2" customWidth="1"/>
    <col min="43" max="43" width="5.25390625" style="2" customWidth="1"/>
    <col min="44" max="44" width="3.00390625" style="2" customWidth="1"/>
    <col min="45" max="47" width="3.25390625" style="2" customWidth="1"/>
    <col min="48" max="48" width="2.875" style="2" customWidth="1"/>
    <col min="49" max="16384" width="3.25390625" style="2" customWidth="1"/>
  </cols>
  <sheetData>
    <row r="1" spans="1:53" ht="12.75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33</v>
      </c>
      <c r="M1" s="200"/>
      <c r="N1" s="200" t="s">
        <v>34</v>
      </c>
      <c r="O1" s="200"/>
      <c r="P1" s="200"/>
      <c r="Q1" s="200" t="s">
        <v>35</v>
      </c>
      <c r="R1" s="200"/>
      <c r="S1" s="200"/>
      <c r="T1" s="200" t="s">
        <v>36</v>
      </c>
      <c r="U1" s="200"/>
      <c r="V1" s="200"/>
      <c r="W1" s="200" t="s">
        <v>39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 t="s">
        <v>26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 t="s">
        <v>39</v>
      </c>
      <c r="AY1" s="200"/>
      <c r="AZ1" s="200"/>
      <c r="BA1" s="200"/>
    </row>
    <row r="2" spans="1:53" ht="12.75">
      <c r="A2" s="126" t="s">
        <v>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>
        <f>AG124</f>
        <v>3.6052631578947367</v>
      </c>
      <c r="M2" s="127"/>
      <c r="N2" s="201">
        <v>8</v>
      </c>
      <c r="O2" s="201"/>
      <c r="P2" s="201"/>
      <c r="Q2" s="127">
        <v>1</v>
      </c>
      <c r="R2" s="127"/>
      <c r="S2" s="127"/>
      <c r="T2" s="127">
        <v>0.4</v>
      </c>
      <c r="U2" s="127"/>
      <c r="V2" s="127"/>
      <c r="W2" s="206" t="s">
        <v>40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7" t="s">
        <v>46</v>
      </c>
      <c r="AI2" s="208"/>
      <c r="AJ2" s="208"/>
      <c r="AK2" s="209"/>
      <c r="AL2" s="207" t="s">
        <v>47</v>
      </c>
      <c r="AM2" s="208"/>
      <c r="AN2" s="208"/>
      <c r="AO2" s="209"/>
      <c r="AP2" s="207" t="s">
        <v>46</v>
      </c>
      <c r="AQ2" s="208"/>
      <c r="AR2" s="208"/>
      <c r="AS2" s="209"/>
      <c r="AT2" s="207" t="s">
        <v>48</v>
      </c>
      <c r="AU2" s="208"/>
      <c r="AV2" s="208"/>
      <c r="AW2" s="209"/>
      <c r="AX2" s="210" t="s">
        <v>51</v>
      </c>
      <c r="AY2" s="211"/>
      <c r="AZ2" s="211"/>
      <c r="BA2" s="212"/>
    </row>
    <row r="3" spans="1:53" ht="12.75">
      <c r="A3" s="126" t="s">
        <v>278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>
        <v>4</v>
      </c>
      <c r="M3" s="127"/>
      <c r="N3" s="202" t="s">
        <v>248</v>
      </c>
      <c r="O3" s="202"/>
      <c r="P3" s="202"/>
      <c r="Q3" s="203" t="s">
        <v>274</v>
      </c>
      <c r="R3" s="204"/>
      <c r="S3" s="205"/>
      <c r="T3" s="127">
        <v>0</v>
      </c>
      <c r="U3" s="127"/>
      <c r="V3" s="127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126" t="s">
        <v>5</v>
      </c>
      <c r="AI3" s="126"/>
      <c r="AJ3" s="126"/>
      <c r="AK3" s="126"/>
      <c r="AL3" s="127">
        <v>0</v>
      </c>
      <c r="AM3" s="127"/>
      <c r="AN3" s="127"/>
      <c r="AO3" s="127"/>
      <c r="AP3" s="203" t="s">
        <v>49</v>
      </c>
      <c r="AQ3" s="204"/>
      <c r="AR3" s="204"/>
      <c r="AS3" s="205"/>
      <c r="AT3" s="126">
        <v>0</v>
      </c>
      <c r="AU3" s="126"/>
      <c r="AV3" s="126"/>
      <c r="AW3" s="126"/>
      <c r="AX3" s="213"/>
      <c r="AY3" s="214"/>
      <c r="AZ3" s="214"/>
      <c r="BA3" s="215"/>
    </row>
    <row r="4" spans="1:53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202" t="s">
        <v>249</v>
      </c>
      <c r="O4" s="202"/>
      <c r="P4" s="202"/>
      <c r="Q4" s="203" t="s">
        <v>275</v>
      </c>
      <c r="R4" s="204"/>
      <c r="S4" s="205"/>
      <c r="T4" s="238">
        <v>0</v>
      </c>
      <c r="U4" s="238"/>
      <c r="V4" s="238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126" t="s">
        <v>2</v>
      </c>
      <c r="AI4" s="126"/>
      <c r="AJ4" s="126"/>
      <c r="AK4" s="126"/>
      <c r="AL4" s="127">
        <v>0</v>
      </c>
      <c r="AM4" s="127"/>
      <c r="AN4" s="127"/>
      <c r="AO4" s="127"/>
      <c r="AP4" s="203" t="s">
        <v>50</v>
      </c>
      <c r="AQ4" s="204"/>
      <c r="AR4" s="204"/>
      <c r="AS4" s="205"/>
      <c r="AT4" s="126">
        <v>100</v>
      </c>
      <c r="AU4" s="126"/>
      <c r="AV4" s="126"/>
      <c r="AW4" s="126"/>
      <c r="AX4" s="216"/>
      <c r="AY4" s="217"/>
      <c r="AZ4" s="217"/>
      <c r="BA4" s="218"/>
    </row>
    <row r="5" spans="14:22" ht="13.5" thickBot="1">
      <c r="N5" s="2" t="s">
        <v>277</v>
      </c>
      <c r="Q5" s="126" t="s">
        <v>276</v>
      </c>
      <c r="R5" s="126"/>
      <c r="S5" s="126"/>
      <c r="T5" s="127">
        <v>0.1</v>
      </c>
      <c r="U5" s="127"/>
      <c r="V5" s="127"/>
    </row>
    <row r="6" spans="1:35" ht="13.5" thickBot="1">
      <c r="A6" s="129" t="s">
        <v>72</v>
      </c>
      <c r="B6" s="130"/>
      <c r="C6" s="130"/>
      <c r="D6" s="130"/>
      <c r="E6" s="130"/>
      <c r="F6" s="130"/>
      <c r="G6" s="129" t="s">
        <v>3</v>
      </c>
      <c r="H6" s="130"/>
      <c r="I6" s="130"/>
      <c r="J6" s="131"/>
      <c r="K6" s="130" t="s">
        <v>4</v>
      </c>
      <c r="L6" s="130"/>
      <c r="M6" s="130"/>
      <c r="N6" s="130"/>
      <c r="O6" s="129" t="s">
        <v>2</v>
      </c>
      <c r="P6" s="130"/>
      <c r="Q6" s="128"/>
      <c r="R6" s="190"/>
      <c r="S6" s="128" t="s">
        <v>2</v>
      </c>
      <c r="T6" s="128"/>
      <c r="U6" s="128"/>
      <c r="V6" s="128"/>
      <c r="W6" s="129" t="s">
        <v>73</v>
      </c>
      <c r="X6" s="130"/>
      <c r="Y6" s="130"/>
      <c r="Z6" s="131"/>
      <c r="AA6" s="130" t="s">
        <v>350</v>
      </c>
      <c r="AB6" s="130"/>
      <c r="AC6" s="130"/>
      <c r="AD6" s="130"/>
      <c r="AE6" s="130"/>
      <c r="AF6" s="130"/>
      <c r="AG6" s="130"/>
      <c r="AH6" s="130"/>
      <c r="AI6" s="131"/>
    </row>
    <row r="7" spans="1:35" ht="12.75" customHeight="1">
      <c r="A7" s="186" t="s">
        <v>61</v>
      </c>
      <c r="B7" s="93" t="s">
        <v>23</v>
      </c>
      <c r="C7" s="94"/>
      <c r="D7" s="94"/>
      <c r="E7" s="94"/>
      <c r="F7" s="199"/>
      <c r="G7" s="185">
        <v>160</v>
      </c>
      <c r="H7" s="183"/>
      <c r="I7" s="183"/>
      <c r="J7" s="184"/>
      <c r="K7" s="182">
        <v>200</v>
      </c>
      <c r="L7" s="183"/>
      <c r="M7" s="183"/>
      <c r="N7" s="184"/>
      <c r="O7" s="182">
        <v>0</v>
      </c>
      <c r="P7" s="183"/>
      <c r="Q7" s="183"/>
      <c r="R7" s="184"/>
      <c r="S7" s="182">
        <v>0</v>
      </c>
      <c r="T7" s="183"/>
      <c r="U7" s="183"/>
      <c r="V7" s="184"/>
      <c r="W7" s="170">
        <f aca="true" t="shared" si="0" ref="W7:W34">G7+K7+O7+S7</f>
        <v>360</v>
      </c>
      <c r="X7" s="171"/>
      <c r="Y7" s="171"/>
      <c r="Z7" s="172"/>
      <c r="AA7" s="236" t="s">
        <v>282</v>
      </c>
      <c r="AB7" s="94"/>
      <c r="AC7" s="94"/>
      <c r="AD7" s="94"/>
      <c r="AE7" s="94"/>
      <c r="AF7" s="94"/>
      <c r="AG7" s="173">
        <f>(W12+$N$2*AG13)/W7*100+$Q$2+$T$2+$T$3+$T$5</f>
        <v>32.611111111111114</v>
      </c>
      <c r="AH7" s="174"/>
      <c r="AI7" s="175"/>
    </row>
    <row r="8" spans="1:36" ht="12.75">
      <c r="A8" s="219"/>
      <c r="B8" s="125" t="s">
        <v>24</v>
      </c>
      <c r="C8" s="126"/>
      <c r="D8" s="126"/>
      <c r="E8" s="126"/>
      <c r="F8" s="161"/>
      <c r="G8" s="169">
        <v>160</v>
      </c>
      <c r="H8" s="167"/>
      <c r="I8" s="167"/>
      <c r="J8" s="168"/>
      <c r="K8" s="166">
        <v>200</v>
      </c>
      <c r="L8" s="167"/>
      <c r="M8" s="167"/>
      <c r="N8" s="168"/>
      <c r="O8" s="166">
        <v>0</v>
      </c>
      <c r="P8" s="167"/>
      <c r="Q8" s="167"/>
      <c r="R8" s="168"/>
      <c r="S8" s="166">
        <v>0</v>
      </c>
      <c r="T8" s="167"/>
      <c r="U8" s="167"/>
      <c r="V8" s="168"/>
      <c r="W8" s="153">
        <f t="shared" si="0"/>
        <v>360</v>
      </c>
      <c r="X8" s="154"/>
      <c r="Y8" s="154"/>
      <c r="Z8" s="155"/>
      <c r="AA8" s="205" t="s">
        <v>54</v>
      </c>
      <c r="AB8" s="126"/>
      <c r="AC8" s="126"/>
      <c r="AD8" s="126"/>
      <c r="AE8" s="126"/>
      <c r="AF8" s="126"/>
      <c r="AG8" s="180">
        <f>(AG7-$L$2)*W7/100</f>
        <v>104.42105263157897</v>
      </c>
      <c r="AH8" s="180"/>
      <c r="AI8" s="181"/>
      <c r="AJ8" s="2" t="s">
        <v>284</v>
      </c>
    </row>
    <row r="9" spans="1:43" ht="12.75">
      <c r="A9" s="219"/>
      <c r="B9" s="125" t="s">
        <v>29</v>
      </c>
      <c r="C9" s="126"/>
      <c r="D9" s="126"/>
      <c r="E9" s="126"/>
      <c r="F9" s="161"/>
      <c r="G9" s="156">
        <f>IF(G7&lt;=G8,$N$2+G8/100*($Q$2+$T$2)+$AI16/$AG13+$AI18+IF(AI15&gt;0,AI15,0),$N$2+G8/100*$Q$2+$AI16/$AG13+$AI18+IF(AI15&gt;0,AI15,0))</f>
        <v>10.6</v>
      </c>
      <c r="H9" s="157"/>
      <c r="I9" s="157"/>
      <c r="J9" s="158"/>
      <c r="K9" s="156">
        <f>IF(K7&lt;=K8,$N$2+K8/100*($Q$2+$T$2)+$AI16/$AG13+$AI18,$N$2+K8/100*$Q$2+$AI16/$AG13+$AI18)</f>
        <v>10.8</v>
      </c>
      <c r="L9" s="157"/>
      <c r="M9" s="157"/>
      <c r="N9" s="158"/>
      <c r="O9" s="156">
        <f>IF(O7&lt;=O8,$N$2+O8/100*($Q$2+$T$2)+$AI16/$AG13+$AI18,$N$2+O8/100*$Q$2+$AI16/$AG13+$AI18)</f>
        <v>8</v>
      </c>
      <c r="P9" s="157"/>
      <c r="Q9" s="157"/>
      <c r="R9" s="158"/>
      <c r="S9" s="156">
        <f>IF(S7&lt;=S8,$N$2+S8/100*($Q$2+$T$2)+$AI16/$AG13+$AI18,$N$2+S8/100*$Q$2+$AI16/$AG13+$AI18)</f>
        <v>8</v>
      </c>
      <c r="T9" s="157"/>
      <c r="U9" s="157"/>
      <c r="V9" s="158"/>
      <c r="W9" s="153">
        <f t="shared" si="0"/>
        <v>37.4</v>
      </c>
      <c r="X9" s="154"/>
      <c r="Y9" s="154"/>
      <c r="Z9" s="155"/>
      <c r="AA9" s="205" t="s">
        <v>55</v>
      </c>
      <c r="AB9" s="126"/>
      <c r="AC9" s="126"/>
      <c r="AD9" s="126"/>
      <c r="AE9" s="126"/>
      <c r="AF9" s="126"/>
      <c r="AG9" s="122">
        <f>SUM(AJ10:AQ10)+AG8</f>
        <v>113.82105263157898</v>
      </c>
      <c r="AH9" s="123"/>
      <c r="AI9" s="124"/>
      <c r="AJ9" s="225">
        <f>$N$2+G7*($Q$2+$T$2+$T$3/$AG13)/100+$T$5*$W7/100</f>
        <v>10.6</v>
      </c>
      <c r="AK9" s="226"/>
      <c r="AL9" s="225">
        <f>$N$2+K7*($Q$2+$T$2+$T$3/$AG13)/100</f>
        <v>10.8</v>
      </c>
      <c r="AM9" s="226"/>
      <c r="AN9" s="225">
        <f>$N$2+O7*($Q$2+$T$2+$T$3/$AG13)/100</f>
        <v>8</v>
      </c>
      <c r="AO9" s="226"/>
      <c r="AP9" s="225">
        <f>$N$2+S7*($Q$2+$T$2+$T$3/$AG13)/100</f>
        <v>8</v>
      </c>
      <c r="AQ9" s="226"/>
    </row>
    <row r="10" spans="1:43" ht="12.75">
      <c r="A10" s="219"/>
      <c r="B10" s="125" t="s">
        <v>10</v>
      </c>
      <c r="C10" s="126"/>
      <c r="D10" s="126"/>
      <c r="E10" s="126"/>
      <c r="F10" s="161"/>
      <c r="G10" s="169">
        <v>20</v>
      </c>
      <c r="H10" s="167"/>
      <c r="I10" s="167"/>
      <c r="J10" s="168"/>
      <c r="K10" s="166">
        <v>8</v>
      </c>
      <c r="L10" s="167"/>
      <c r="M10" s="167"/>
      <c r="N10" s="168"/>
      <c r="O10" s="169">
        <v>8</v>
      </c>
      <c r="P10" s="167"/>
      <c r="Q10" s="167"/>
      <c r="R10" s="168"/>
      <c r="S10" s="169">
        <v>8</v>
      </c>
      <c r="T10" s="167"/>
      <c r="U10" s="167"/>
      <c r="V10" s="168"/>
      <c r="W10" s="153">
        <f t="shared" si="0"/>
        <v>44</v>
      </c>
      <c r="X10" s="154"/>
      <c r="Y10" s="154"/>
      <c r="Z10" s="155"/>
      <c r="AA10" s="205" t="s">
        <v>56</v>
      </c>
      <c r="AB10" s="126"/>
      <c r="AC10" s="126"/>
      <c r="AD10" s="126"/>
      <c r="AE10" s="126"/>
      <c r="AF10" s="126"/>
      <c r="AG10" s="134">
        <f>W17+AG9</f>
        <v>0</v>
      </c>
      <c r="AH10" s="134"/>
      <c r="AI10" s="135"/>
      <c r="AJ10" s="225">
        <f>IF(AJ9&gt;G10,0,G10-AJ9)</f>
        <v>9.4</v>
      </c>
      <c r="AK10" s="226"/>
      <c r="AL10" s="225">
        <f>IF(AL9&gt;K10,0,K10-AL9)</f>
        <v>0</v>
      </c>
      <c r="AM10" s="226"/>
      <c r="AN10" s="225">
        <f>IF(AN9&gt;O10,0,O10-AN9)</f>
        <v>0</v>
      </c>
      <c r="AO10" s="226"/>
      <c r="AP10" s="225">
        <f>IF(AP9&gt;S10,0,S10-AP9)</f>
        <v>0</v>
      </c>
      <c r="AQ10" s="226"/>
    </row>
    <row r="11" spans="1:37" ht="13.5" thickBot="1">
      <c r="A11" s="219"/>
      <c r="B11" s="125" t="s">
        <v>58</v>
      </c>
      <c r="C11" s="126"/>
      <c r="D11" s="126"/>
      <c r="E11" s="126"/>
      <c r="F11" s="161"/>
      <c r="G11" s="156">
        <f>IF(G9&lt;G10,G10,G9)</f>
        <v>20</v>
      </c>
      <c r="H11" s="157"/>
      <c r="I11" s="157"/>
      <c r="J11" s="158"/>
      <c r="K11" s="160">
        <f>IF(K9&lt;K10,K10,K9)</f>
        <v>10.8</v>
      </c>
      <c r="L11" s="157"/>
      <c r="M11" s="157"/>
      <c r="N11" s="158"/>
      <c r="O11" s="156">
        <f>IF(O9&lt;O10,O10,O9)</f>
        <v>8</v>
      </c>
      <c r="P11" s="157"/>
      <c r="Q11" s="157"/>
      <c r="R11" s="158"/>
      <c r="S11" s="156">
        <f>IF(S9&lt;S10,S10,S9)</f>
        <v>8</v>
      </c>
      <c r="T11" s="157"/>
      <c r="U11" s="157"/>
      <c r="V11" s="158"/>
      <c r="W11" s="153">
        <f t="shared" si="0"/>
        <v>46.8</v>
      </c>
      <c r="X11" s="154"/>
      <c r="Y11" s="154"/>
      <c r="Z11" s="155"/>
      <c r="AA11" s="232" t="s">
        <v>57</v>
      </c>
      <c r="AB11" s="90"/>
      <c r="AC11" s="90"/>
      <c r="AD11" s="90"/>
      <c r="AE11" s="90"/>
      <c r="AF11" s="90"/>
      <c r="AG11" s="91">
        <f>-AG9+AG10-W18</f>
        <v>-113.82105263157898</v>
      </c>
      <c r="AH11" s="91"/>
      <c r="AI11" s="85"/>
      <c r="AK11" s="64"/>
    </row>
    <row r="12" spans="1:35" ht="13.5" thickBot="1">
      <c r="A12" s="219"/>
      <c r="B12" s="125" t="s">
        <v>41</v>
      </c>
      <c r="C12" s="126"/>
      <c r="D12" s="126"/>
      <c r="E12" s="126"/>
      <c r="F12" s="161"/>
      <c r="G12" s="156">
        <v>20</v>
      </c>
      <c r="H12" s="157"/>
      <c r="I12" s="157"/>
      <c r="J12" s="158"/>
      <c r="K12" s="160">
        <v>20</v>
      </c>
      <c r="L12" s="157"/>
      <c r="M12" s="157"/>
      <c r="N12" s="158"/>
      <c r="O12" s="156">
        <v>20</v>
      </c>
      <c r="P12" s="157"/>
      <c r="Q12" s="157"/>
      <c r="R12" s="158"/>
      <c r="S12" s="160">
        <v>20</v>
      </c>
      <c r="T12" s="157"/>
      <c r="U12" s="157"/>
      <c r="V12" s="158"/>
      <c r="W12" s="153">
        <f t="shared" si="0"/>
        <v>80</v>
      </c>
      <c r="X12" s="154"/>
      <c r="Y12" s="154"/>
      <c r="Z12" s="155"/>
      <c r="AA12" s="230" t="s">
        <v>59</v>
      </c>
      <c r="AB12" s="231"/>
      <c r="AC12" s="231"/>
      <c r="AD12" s="231"/>
      <c r="AE12" s="231"/>
      <c r="AF12" s="231"/>
      <c r="AG12" s="88">
        <f>AG9+AG11</f>
        <v>0</v>
      </c>
      <c r="AH12" s="89"/>
      <c r="AI12" s="84"/>
    </row>
    <row r="13" spans="1:35" ht="12.75">
      <c r="A13" s="219"/>
      <c r="B13" s="125" t="s">
        <v>42</v>
      </c>
      <c r="C13" s="126"/>
      <c r="D13" s="126"/>
      <c r="E13" s="126"/>
      <c r="F13" s="161"/>
      <c r="G13" s="169">
        <v>20</v>
      </c>
      <c r="H13" s="167"/>
      <c r="I13" s="167"/>
      <c r="J13" s="168"/>
      <c r="K13" s="166">
        <v>20</v>
      </c>
      <c r="L13" s="167"/>
      <c r="M13" s="167"/>
      <c r="N13" s="168"/>
      <c r="O13" s="169">
        <v>20</v>
      </c>
      <c r="P13" s="167"/>
      <c r="Q13" s="167"/>
      <c r="R13" s="168"/>
      <c r="S13" s="166">
        <v>20</v>
      </c>
      <c r="T13" s="167"/>
      <c r="U13" s="167"/>
      <c r="V13" s="168"/>
      <c r="W13" s="153">
        <f t="shared" si="0"/>
        <v>80</v>
      </c>
      <c r="X13" s="154"/>
      <c r="Y13" s="154"/>
      <c r="Z13" s="155"/>
      <c r="AA13" s="228" t="s">
        <v>279</v>
      </c>
      <c r="AB13" s="229"/>
      <c r="AC13" s="229"/>
      <c r="AD13" s="229"/>
      <c r="AE13" s="229"/>
      <c r="AF13" s="229"/>
      <c r="AG13" s="95">
        <v>4</v>
      </c>
      <c r="AH13" s="95"/>
      <c r="AI13" s="95"/>
    </row>
    <row r="14" spans="1:35" ht="12.75">
      <c r="A14" s="219"/>
      <c r="B14" s="125" t="s">
        <v>43</v>
      </c>
      <c r="C14" s="126"/>
      <c r="D14" s="126"/>
      <c r="E14" s="126"/>
      <c r="F14" s="161"/>
      <c r="G14" s="165">
        <f>G12-G13</f>
        <v>0</v>
      </c>
      <c r="H14" s="163"/>
      <c r="I14" s="163"/>
      <c r="J14" s="164"/>
      <c r="K14" s="162">
        <f>K12-K13</f>
        <v>0</v>
      </c>
      <c r="L14" s="163"/>
      <c r="M14" s="163"/>
      <c r="N14" s="164"/>
      <c r="O14" s="165">
        <f>O12-O13</f>
        <v>0</v>
      </c>
      <c r="P14" s="163"/>
      <c r="Q14" s="163"/>
      <c r="R14" s="164"/>
      <c r="S14" s="162">
        <v>0</v>
      </c>
      <c r="T14" s="163"/>
      <c r="U14" s="163"/>
      <c r="V14" s="164"/>
      <c r="W14" s="153">
        <f t="shared" si="0"/>
        <v>0</v>
      </c>
      <c r="X14" s="154"/>
      <c r="Y14" s="154"/>
      <c r="Z14" s="155"/>
      <c r="AA14" s="132">
        <f>W8*$L$2/100-AI19</f>
        <v>12.978947368421052</v>
      </c>
      <c r="AB14" s="233"/>
      <c r="AC14" s="233"/>
      <c r="AD14" s="233"/>
      <c r="AE14" s="233"/>
      <c r="AF14" s="233"/>
      <c r="AG14" s="233"/>
      <c r="AH14" s="233"/>
      <c r="AI14" s="233"/>
    </row>
    <row r="15" spans="1:38" ht="12.75">
      <c r="A15" s="219"/>
      <c r="B15" s="125" t="s">
        <v>30</v>
      </c>
      <c r="C15" s="126"/>
      <c r="D15" s="126"/>
      <c r="E15" s="126"/>
      <c r="F15" s="161"/>
      <c r="G15" s="156">
        <f>G8*$L$2/100-AA19</f>
        <v>5.768421052631579</v>
      </c>
      <c r="H15" s="157"/>
      <c r="I15" s="157"/>
      <c r="J15" s="158"/>
      <c r="K15" s="156">
        <f>K8*$L$2/100-AC19</f>
        <v>7.210526315789474</v>
      </c>
      <c r="L15" s="157"/>
      <c r="M15" s="157"/>
      <c r="N15" s="158"/>
      <c r="O15" s="156">
        <f>O8*$L$2/100-AE19</f>
        <v>0</v>
      </c>
      <c r="P15" s="157"/>
      <c r="Q15" s="157"/>
      <c r="R15" s="158"/>
      <c r="S15" s="156">
        <f>S8*$L$2/100-AG19</f>
        <v>0</v>
      </c>
      <c r="T15" s="157"/>
      <c r="U15" s="157"/>
      <c r="V15" s="158"/>
      <c r="W15" s="153">
        <f t="shared" si="0"/>
        <v>12.978947368421053</v>
      </c>
      <c r="X15" s="154"/>
      <c r="Y15" s="154"/>
      <c r="Z15" s="155"/>
      <c r="AA15" s="101">
        <f>IF(G8&lt;G7,$T$5*(G8-G7)*$L$3/100,$T$5*G8/100)</f>
        <v>0.16</v>
      </c>
      <c r="AB15" s="101"/>
      <c r="AC15" s="101">
        <f>IF(K8&lt;K7,$T$5*(K8-K7)*$L$3/100,$T$5*K8/100)</f>
        <v>0.2</v>
      </c>
      <c r="AD15" s="101"/>
      <c r="AE15" s="101">
        <f>IF(O8&lt;O7,$T$5*(O8-O7)*$L$3/100,$T$5*O8/100)</f>
        <v>0</v>
      </c>
      <c r="AF15" s="101"/>
      <c r="AG15" s="101">
        <f>IF(S8&lt;S7,$T$5*(S8-S7)*$L$3/100,$T$5*S8/100)</f>
        <v>0</v>
      </c>
      <c r="AH15" s="101"/>
      <c r="AI15" s="97">
        <f>SUM(AA15:AH15)</f>
        <v>0.36</v>
      </c>
      <c r="AJ15" s="98"/>
      <c r="AK15" s="98"/>
      <c r="AL15" s="2" t="s">
        <v>277</v>
      </c>
    </row>
    <row r="16" spans="1:38" ht="12.75">
      <c r="A16" s="219"/>
      <c r="B16" s="125" t="s">
        <v>283</v>
      </c>
      <c r="C16" s="126"/>
      <c r="D16" s="126"/>
      <c r="E16" s="126"/>
      <c r="F16" s="161"/>
      <c r="G16" s="156">
        <f>G15-G12-G11+$AI18</f>
        <v>-34.23157894736842</v>
      </c>
      <c r="H16" s="157"/>
      <c r="I16" s="157"/>
      <c r="J16" s="158"/>
      <c r="K16" s="156">
        <f>K15-K12-K11+$AI18</f>
        <v>-23.589473684210525</v>
      </c>
      <c r="L16" s="157"/>
      <c r="M16" s="157"/>
      <c r="N16" s="158"/>
      <c r="O16" s="156">
        <f>O15-O12-O11+$AI18</f>
        <v>-28</v>
      </c>
      <c r="P16" s="157"/>
      <c r="Q16" s="157"/>
      <c r="R16" s="158"/>
      <c r="S16" s="156">
        <f>S15-S12-S11+$AI18</f>
        <v>-28</v>
      </c>
      <c r="T16" s="157"/>
      <c r="U16" s="157"/>
      <c r="V16" s="158"/>
      <c r="W16" s="153">
        <f t="shared" si="0"/>
        <v>-113.82105263157894</v>
      </c>
      <c r="X16" s="154"/>
      <c r="Y16" s="154"/>
      <c r="Z16" s="159"/>
      <c r="AA16" s="101">
        <f>IF(G8&lt;G7,0,$T$3*G8/100)</f>
        <v>0</v>
      </c>
      <c r="AB16" s="101"/>
      <c r="AC16" s="101">
        <f>IF(K8&lt;K7,0,$T$3*K8/100)</f>
        <v>0</v>
      </c>
      <c r="AD16" s="101"/>
      <c r="AE16" s="101">
        <f>IF(O8&lt;O7,0,$T$3*O8/100)</f>
        <v>0</v>
      </c>
      <c r="AF16" s="101"/>
      <c r="AG16" s="101">
        <f>IF(S8&lt;S7,0,$T$3*S8/100)</f>
        <v>0</v>
      </c>
      <c r="AH16" s="101"/>
      <c r="AI16" s="97">
        <f>SUM(AA16:AH16)</f>
        <v>0</v>
      </c>
      <c r="AJ16" s="98"/>
      <c r="AK16" s="98"/>
      <c r="AL16" s="2" t="s">
        <v>248</v>
      </c>
    </row>
    <row r="17" spans="1:38" ht="12.75" customHeight="1">
      <c r="A17" s="219"/>
      <c r="B17" s="125" t="s">
        <v>45</v>
      </c>
      <c r="C17" s="126"/>
      <c r="D17" s="126"/>
      <c r="E17" s="126"/>
      <c r="F17" s="161"/>
      <c r="G17" s="156">
        <f>G16+G14</f>
        <v>-34.23157894736842</v>
      </c>
      <c r="H17" s="157"/>
      <c r="I17" s="157"/>
      <c r="J17" s="158"/>
      <c r="K17" s="160">
        <f>K16+K14</f>
        <v>-23.589473684210525</v>
      </c>
      <c r="L17" s="157"/>
      <c r="M17" s="157"/>
      <c r="N17" s="158"/>
      <c r="O17" s="156">
        <f>O16+O14</f>
        <v>-28</v>
      </c>
      <c r="P17" s="157"/>
      <c r="Q17" s="157"/>
      <c r="R17" s="158"/>
      <c r="S17" s="160">
        <f>S16+S14</f>
        <v>-28</v>
      </c>
      <c r="T17" s="157"/>
      <c r="U17" s="157"/>
      <c r="V17" s="158"/>
      <c r="W17" s="153">
        <f t="shared" si="0"/>
        <v>-113.82105263157894</v>
      </c>
      <c r="X17" s="154"/>
      <c r="Y17" s="154"/>
      <c r="Z17" s="155"/>
      <c r="AA17" s="101">
        <f>IF(G8&lt;G7,0,$T$4*G8/100)</f>
        <v>0</v>
      </c>
      <c r="AB17" s="101"/>
      <c r="AC17" s="101">
        <f>IF(K8&lt;K7,0,$T$4*K8/100)</f>
        <v>0</v>
      </c>
      <c r="AD17" s="101"/>
      <c r="AE17" s="101">
        <f>IF(O8&lt;O7,0,$T$4*O8/100)</f>
        <v>0</v>
      </c>
      <c r="AF17" s="101"/>
      <c r="AG17" s="101">
        <f>IF(S8&lt;S7,0,$T$4*S8/100)</f>
        <v>0</v>
      </c>
      <c r="AH17" s="101"/>
      <c r="AI17" s="97">
        <f>SUM(AA17:AH17)</f>
        <v>0</v>
      </c>
      <c r="AJ17" s="98"/>
      <c r="AK17" s="98"/>
      <c r="AL17" s="2" t="s">
        <v>281</v>
      </c>
    </row>
    <row r="18" spans="1:38" ht="12.75">
      <c r="A18" s="219"/>
      <c r="B18" s="194" t="s">
        <v>26</v>
      </c>
      <c r="C18" s="98"/>
      <c r="D18" s="98"/>
      <c r="E18" s="98"/>
      <c r="F18" s="195"/>
      <c r="G18" s="196">
        <f>$AG10/100*$AL$3</f>
        <v>0</v>
      </c>
      <c r="H18" s="197"/>
      <c r="I18" s="197"/>
      <c r="J18" s="198"/>
      <c r="K18" s="137">
        <f>$AG10/100*$AL$4</f>
        <v>0</v>
      </c>
      <c r="L18" s="138"/>
      <c r="M18" s="138"/>
      <c r="N18" s="139"/>
      <c r="O18" s="137">
        <f>$AG10/100*$AL$4</f>
        <v>0</v>
      </c>
      <c r="P18" s="138"/>
      <c r="Q18" s="138"/>
      <c r="R18" s="139"/>
      <c r="S18" s="137">
        <v>0</v>
      </c>
      <c r="T18" s="138"/>
      <c r="U18" s="138"/>
      <c r="V18" s="139"/>
      <c r="W18" s="153">
        <f t="shared" si="0"/>
        <v>0</v>
      </c>
      <c r="X18" s="154"/>
      <c r="Y18" s="154"/>
      <c r="Z18" s="155"/>
      <c r="AI18" s="224">
        <f>'ЦФУ Продажи'!G$59</f>
        <v>0</v>
      </c>
      <c r="AJ18" s="224"/>
      <c r="AK18" s="224"/>
      <c r="AL18" s="2" t="s">
        <v>280</v>
      </c>
    </row>
    <row r="19" spans="1:38" ht="13.5" thickBot="1">
      <c r="A19" s="220"/>
      <c r="B19" s="191" t="s">
        <v>28</v>
      </c>
      <c r="C19" s="192"/>
      <c r="D19" s="192"/>
      <c r="E19" s="192"/>
      <c r="F19" s="193"/>
      <c r="G19" s="149">
        <f>IF(G18&lt;0,G11,G11+G18)</f>
        <v>20</v>
      </c>
      <c r="H19" s="147"/>
      <c r="I19" s="147"/>
      <c r="J19" s="148"/>
      <c r="K19" s="146">
        <f>IF(K18&lt;0,K11,K11+K18)</f>
        <v>10.8</v>
      </c>
      <c r="L19" s="147"/>
      <c r="M19" s="147"/>
      <c r="N19" s="148"/>
      <c r="O19" s="149">
        <f>IF(O18&lt;0,O11,O11+O18)</f>
        <v>8</v>
      </c>
      <c r="P19" s="147"/>
      <c r="Q19" s="147"/>
      <c r="R19" s="148"/>
      <c r="S19" s="146">
        <f>IF(S18&lt;0,S11,S11+S18)</f>
        <v>8</v>
      </c>
      <c r="T19" s="147"/>
      <c r="U19" s="147"/>
      <c r="V19" s="148"/>
      <c r="W19" s="150">
        <f t="shared" si="0"/>
        <v>46.8</v>
      </c>
      <c r="X19" s="151"/>
      <c r="Y19" s="151"/>
      <c r="Z19" s="152"/>
      <c r="AA19" s="101">
        <f>IF($AI15&gt;0,IF(AA15&gt;=0,0,G8*($T$2+$T$3+$T$5)/100-AA15),IF(G8&lt;G7,G8*($T$2+$T$3+$T$5)/100,AA15))</f>
        <v>0</v>
      </c>
      <c r="AB19" s="101"/>
      <c r="AC19" s="101">
        <f>IF($AI15&gt;=0,IF(AC15&gt;=0,0,K8*($T$2+$T$3+$T$4+$T$5)/100-AC15),IF(AC15&lt;0,K8*($T$2+$T$3+$T$4+$T$5)/100,AC15))</f>
        <v>0</v>
      </c>
      <c r="AD19" s="101"/>
      <c r="AE19" s="101">
        <f>IF($AI15&gt;=0,IF(AE15&gt;=0,0,O8*($T$2+$T$3+$T$4+$T$5)/100-AE15),IF(AE15&lt;0,O8*($T$2+$T$3+$T$4+$T$5)/100,AE15))</f>
        <v>0</v>
      </c>
      <c r="AF19" s="101"/>
      <c r="AG19" s="101">
        <f>IF($AI15&gt;=0,IF(AG15&gt;=0,0,S8*($T$2+$T$3+$T$4+$T$5)/100-AG15),IF(AG15&lt;0,S8*($T$2+$T$3+$T$4+$T$5)/100,AG15))</f>
        <v>0</v>
      </c>
      <c r="AH19" s="101"/>
      <c r="AI19" s="97">
        <f>SUM(AA19:AH19)</f>
        <v>0</v>
      </c>
      <c r="AJ19" s="98"/>
      <c r="AK19" s="98"/>
      <c r="AL19" s="2" t="s">
        <v>218</v>
      </c>
    </row>
    <row r="20" spans="1:35" ht="12.75" customHeight="1">
      <c r="A20" s="186" t="s">
        <v>62</v>
      </c>
      <c r="B20" s="93" t="s">
        <v>23</v>
      </c>
      <c r="C20" s="94"/>
      <c r="D20" s="94"/>
      <c r="E20" s="94"/>
      <c r="F20" s="199"/>
      <c r="G20" s="185">
        <v>400</v>
      </c>
      <c r="H20" s="183"/>
      <c r="I20" s="183"/>
      <c r="J20" s="184"/>
      <c r="K20" s="182">
        <v>500</v>
      </c>
      <c r="L20" s="183"/>
      <c r="M20" s="183"/>
      <c r="N20" s="184"/>
      <c r="O20" s="185">
        <v>200</v>
      </c>
      <c r="P20" s="183"/>
      <c r="Q20" s="183"/>
      <c r="R20" s="184"/>
      <c r="S20" s="182">
        <v>200</v>
      </c>
      <c r="T20" s="183"/>
      <c r="U20" s="183"/>
      <c r="V20" s="184"/>
      <c r="W20" s="170">
        <f t="shared" si="0"/>
        <v>1300</v>
      </c>
      <c r="X20" s="171"/>
      <c r="Y20" s="171"/>
      <c r="Z20" s="172"/>
      <c r="AA20" s="93" t="s">
        <v>53</v>
      </c>
      <c r="AB20" s="94"/>
      <c r="AC20" s="94"/>
      <c r="AD20" s="94"/>
      <c r="AE20" s="94"/>
      <c r="AF20" s="94"/>
      <c r="AG20" s="173">
        <f>(W25+$N$2*AG26)/W20*100+$Q$2+$T$2+$T$3+$T$5</f>
        <v>10.115384615384615</v>
      </c>
      <c r="AH20" s="174"/>
      <c r="AI20" s="175"/>
    </row>
    <row r="21" spans="1:36" ht="12.75">
      <c r="A21" s="187"/>
      <c r="B21" s="125" t="s">
        <v>24</v>
      </c>
      <c r="C21" s="126"/>
      <c r="D21" s="126"/>
      <c r="E21" s="126"/>
      <c r="F21" s="161"/>
      <c r="G21" s="169">
        <v>400</v>
      </c>
      <c r="H21" s="167"/>
      <c r="I21" s="167"/>
      <c r="J21" s="168"/>
      <c r="K21" s="166">
        <v>500</v>
      </c>
      <c r="L21" s="167"/>
      <c r="M21" s="167"/>
      <c r="N21" s="168"/>
      <c r="O21" s="169">
        <v>200</v>
      </c>
      <c r="P21" s="167"/>
      <c r="Q21" s="167"/>
      <c r="R21" s="168"/>
      <c r="S21" s="166">
        <v>200</v>
      </c>
      <c r="T21" s="167"/>
      <c r="U21" s="167"/>
      <c r="V21" s="168"/>
      <c r="W21" s="153">
        <f t="shared" si="0"/>
        <v>1300</v>
      </c>
      <c r="X21" s="154"/>
      <c r="Y21" s="154"/>
      <c r="Z21" s="155"/>
      <c r="AA21" s="125" t="s">
        <v>54</v>
      </c>
      <c r="AB21" s="126"/>
      <c r="AC21" s="126"/>
      <c r="AD21" s="126"/>
      <c r="AE21" s="126"/>
      <c r="AF21" s="126"/>
      <c r="AG21" s="180">
        <f>(AG20-$L$2)*W20/100</f>
        <v>84.63157894736841</v>
      </c>
      <c r="AH21" s="180"/>
      <c r="AI21" s="181"/>
      <c r="AJ21" s="2" t="s">
        <v>284</v>
      </c>
    </row>
    <row r="22" spans="1:43" ht="12.75">
      <c r="A22" s="187"/>
      <c r="B22" s="125" t="s">
        <v>29</v>
      </c>
      <c r="C22" s="126"/>
      <c r="D22" s="126"/>
      <c r="E22" s="126"/>
      <c r="F22" s="161"/>
      <c r="G22" s="156">
        <f>IF(G20&lt;=G21,$N$2+G21/100*($Q$2+$T$2)+$AI29/$AG26+$AI31+IF(AI28&gt;0,AI28,0),$N$2+G21/100*$Q$2+$AI29/$AG26+$AI31+IF(AI28&gt;0,AI28,0))</f>
        <v>14.9</v>
      </c>
      <c r="H22" s="157"/>
      <c r="I22" s="157"/>
      <c r="J22" s="158"/>
      <c r="K22" s="156">
        <f>IF(K20&lt;=K21,$N$2+K21/100*($Q$2+$T$2)+$AI29/$AG26+$AI31,$N$2+K21/100*$Q$2+$AI29/$AG26+$AI31)</f>
        <v>15</v>
      </c>
      <c r="L22" s="157"/>
      <c r="M22" s="157"/>
      <c r="N22" s="158"/>
      <c r="O22" s="156">
        <f>IF(O20&lt;=O21,$N$2+O21/100*($Q$2+$T$2)+$AI29/$AG26+$AI31,$N$2+O21/100*$Q$2+$AI29/$AG26+$AI31)</f>
        <v>10.8</v>
      </c>
      <c r="P22" s="157"/>
      <c r="Q22" s="157"/>
      <c r="R22" s="158"/>
      <c r="S22" s="156">
        <f>IF(S20&lt;=S21,$N$2+S21/100*($Q$2+$T$2)+$AI29/$AG26+$AI31,$N$2+S21/100*$Q$2+$AI29/$AG26+$AI31)</f>
        <v>10.8</v>
      </c>
      <c r="T22" s="157"/>
      <c r="U22" s="157"/>
      <c r="V22" s="158"/>
      <c r="W22" s="153">
        <f aca="true" t="shared" si="1" ref="W22:W32">G22+K22+O22+S22</f>
        <v>51.5</v>
      </c>
      <c r="X22" s="154"/>
      <c r="Y22" s="154"/>
      <c r="Z22" s="155"/>
      <c r="AA22" s="205" t="s">
        <v>55</v>
      </c>
      <c r="AB22" s="126"/>
      <c r="AC22" s="126"/>
      <c r="AD22" s="126"/>
      <c r="AE22" s="126"/>
      <c r="AF22" s="126"/>
      <c r="AG22" s="122">
        <f>SUM(AJ23:AQ23)+AG21</f>
        <v>89.7315789473684</v>
      </c>
      <c r="AH22" s="123"/>
      <c r="AI22" s="124"/>
      <c r="AJ22" s="225">
        <f>$N$2+G20*($Q$2+$T$2+$T$3/$AG26)/100+$T$5*$W20/100</f>
        <v>14.9</v>
      </c>
      <c r="AK22" s="226"/>
      <c r="AL22" s="225">
        <f>$N$2+K20*($Q$2+$T$2+$T$3/$AG26)/100</f>
        <v>15</v>
      </c>
      <c r="AM22" s="226"/>
      <c r="AN22" s="225">
        <f>$N$2+O20*($Q$2+$T$2+$T$3/$AG26)/100</f>
        <v>10.8</v>
      </c>
      <c r="AO22" s="226"/>
      <c r="AP22" s="225">
        <f>$N$2+S20*($Q$2+$T$2+$T$3/$AG26)/100</f>
        <v>10.8</v>
      </c>
      <c r="AQ22" s="226"/>
    </row>
    <row r="23" spans="1:43" ht="12.75">
      <c r="A23" s="187"/>
      <c r="B23" s="125" t="s">
        <v>10</v>
      </c>
      <c r="C23" s="126"/>
      <c r="D23" s="126"/>
      <c r="E23" s="126"/>
      <c r="F23" s="161"/>
      <c r="G23" s="169">
        <v>20</v>
      </c>
      <c r="H23" s="167"/>
      <c r="I23" s="167"/>
      <c r="J23" s="168"/>
      <c r="K23" s="166">
        <v>8</v>
      </c>
      <c r="L23" s="167"/>
      <c r="M23" s="167"/>
      <c r="N23" s="168"/>
      <c r="O23" s="169">
        <v>8</v>
      </c>
      <c r="P23" s="167"/>
      <c r="Q23" s="167"/>
      <c r="R23" s="168"/>
      <c r="S23" s="166">
        <v>8</v>
      </c>
      <c r="T23" s="167"/>
      <c r="U23" s="167"/>
      <c r="V23" s="168"/>
      <c r="W23" s="153">
        <f t="shared" si="1"/>
        <v>44</v>
      </c>
      <c r="X23" s="154"/>
      <c r="Y23" s="154"/>
      <c r="Z23" s="155"/>
      <c r="AA23" s="205" t="s">
        <v>56</v>
      </c>
      <c r="AB23" s="126"/>
      <c r="AC23" s="126"/>
      <c r="AD23" s="126"/>
      <c r="AE23" s="126"/>
      <c r="AF23" s="126"/>
      <c r="AG23" s="134">
        <f>W30+AG22</f>
        <v>0</v>
      </c>
      <c r="AH23" s="134"/>
      <c r="AI23" s="135"/>
      <c r="AJ23" s="225">
        <f>IF(AJ22&gt;G23,0,G23-AJ22)</f>
        <v>5.1</v>
      </c>
      <c r="AK23" s="226"/>
      <c r="AL23" s="225">
        <f>IF(AL22&gt;K23,0,K23-AL22)</f>
        <v>0</v>
      </c>
      <c r="AM23" s="226"/>
      <c r="AN23" s="225">
        <f>IF(AN22&gt;O23,0,O23-AN22)</f>
        <v>0</v>
      </c>
      <c r="AO23" s="226"/>
      <c r="AP23" s="225">
        <f>IF(AP22&gt;S23,0,S23-AP22)</f>
        <v>0</v>
      </c>
      <c r="AQ23" s="226"/>
    </row>
    <row r="24" spans="1:35" ht="13.5" thickBot="1">
      <c r="A24" s="187"/>
      <c r="B24" s="125" t="s">
        <v>58</v>
      </c>
      <c r="C24" s="126"/>
      <c r="D24" s="126"/>
      <c r="E24" s="126"/>
      <c r="F24" s="161"/>
      <c r="G24" s="156">
        <f>IF(G22&lt;G23,G23,G22)</f>
        <v>20</v>
      </c>
      <c r="H24" s="157"/>
      <c r="I24" s="157"/>
      <c r="J24" s="158"/>
      <c r="K24" s="160">
        <f>IF(K22&lt;K23,K23,K22)</f>
        <v>15</v>
      </c>
      <c r="L24" s="157"/>
      <c r="M24" s="157"/>
      <c r="N24" s="158"/>
      <c r="O24" s="156">
        <f>IF(O22&lt;O23,O23,O22)</f>
        <v>10.8</v>
      </c>
      <c r="P24" s="157"/>
      <c r="Q24" s="157"/>
      <c r="R24" s="158"/>
      <c r="S24" s="160">
        <f>IF(S22&lt;S23,S23,S22)</f>
        <v>10.8</v>
      </c>
      <c r="T24" s="157"/>
      <c r="U24" s="157"/>
      <c r="V24" s="158"/>
      <c r="W24" s="153">
        <f t="shared" si="1"/>
        <v>56.599999999999994</v>
      </c>
      <c r="X24" s="154"/>
      <c r="Y24" s="154"/>
      <c r="Z24" s="155"/>
      <c r="AA24" s="232" t="s">
        <v>57</v>
      </c>
      <c r="AB24" s="90"/>
      <c r="AC24" s="90"/>
      <c r="AD24" s="90"/>
      <c r="AE24" s="90"/>
      <c r="AF24" s="90"/>
      <c r="AG24" s="91">
        <f>-AG22+AG23-W31</f>
        <v>-89.7315789473684</v>
      </c>
      <c r="AH24" s="91"/>
      <c r="AI24" s="85"/>
    </row>
    <row r="25" spans="1:35" ht="13.5" thickBot="1">
      <c r="A25" s="187"/>
      <c r="B25" s="125" t="s">
        <v>41</v>
      </c>
      <c r="C25" s="126"/>
      <c r="D25" s="126"/>
      <c r="E25" s="126"/>
      <c r="F25" s="161"/>
      <c r="G25" s="156">
        <v>20</v>
      </c>
      <c r="H25" s="157"/>
      <c r="I25" s="157"/>
      <c r="J25" s="158"/>
      <c r="K25" s="160">
        <v>20</v>
      </c>
      <c r="L25" s="157"/>
      <c r="M25" s="157"/>
      <c r="N25" s="158"/>
      <c r="O25" s="156">
        <v>20</v>
      </c>
      <c r="P25" s="157"/>
      <c r="Q25" s="157"/>
      <c r="R25" s="158"/>
      <c r="S25" s="160">
        <v>20</v>
      </c>
      <c r="T25" s="157"/>
      <c r="U25" s="157"/>
      <c r="V25" s="158"/>
      <c r="W25" s="153">
        <f t="shared" si="1"/>
        <v>80</v>
      </c>
      <c r="X25" s="154"/>
      <c r="Y25" s="154"/>
      <c r="Z25" s="155"/>
      <c r="AA25" s="230" t="s">
        <v>59</v>
      </c>
      <c r="AB25" s="231"/>
      <c r="AC25" s="231"/>
      <c r="AD25" s="231"/>
      <c r="AE25" s="231"/>
      <c r="AF25" s="231"/>
      <c r="AG25" s="88">
        <f>AG22+AG24</f>
        <v>0</v>
      </c>
      <c r="AH25" s="89"/>
      <c r="AI25" s="84"/>
    </row>
    <row r="26" spans="1:35" ht="12.75">
      <c r="A26" s="187"/>
      <c r="B26" s="125" t="s">
        <v>42</v>
      </c>
      <c r="C26" s="126"/>
      <c r="D26" s="126"/>
      <c r="E26" s="126"/>
      <c r="F26" s="161"/>
      <c r="G26" s="169">
        <v>20</v>
      </c>
      <c r="H26" s="167"/>
      <c r="I26" s="167"/>
      <c r="J26" s="168"/>
      <c r="K26" s="166">
        <v>20</v>
      </c>
      <c r="L26" s="167"/>
      <c r="M26" s="167"/>
      <c r="N26" s="168"/>
      <c r="O26" s="169">
        <v>20</v>
      </c>
      <c r="P26" s="167"/>
      <c r="Q26" s="167"/>
      <c r="R26" s="168"/>
      <c r="S26" s="166">
        <v>20</v>
      </c>
      <c r="T26" s="167"/>
      <c r="U26" s="167"/>
      <c r="V26" s="168"/>
      <c r="W26" s="153">
        <f t="shared" si="1"/>
        <v>80</v>
      </c>
      <c r="X26" s="154"/>
      <c r="Y26" s="154"/>
      <c r="Z26" s="155"/>
      <c r="AA26" s="228" t="s">
        <v>279</v>
      </c>
      <c r="AB26" s="229"/>
      <c r="AC26" s="229"/>
      <c r="AD26" s="229"/>
      <c r="AE26" s="229"/>
      <c r="AF26" s="229"/>
      <c r="AG26" s="95">
        <v>4</v>
      </c>
      <c r="AH26" s="95"/>
      <c r="AI26" s="95"/>
    </row>
    <row r="27" spans="1:38" ht="12.75">
      <c r="A27" s="187"/>
      <c r="B27" s="125" t="s">
        <v>43</v>
      </c>
      <c r="C27" s="126"/>
      <c r="D27" s="126"/>
      <c r="E27" s="126"/>
      <c r="F27" s="161"/>
      <c r="G27" s="165">
        <f>G25-G26</f>
        <v>0</v>
      </c>
      <c r="H27" s="163"/>
      <c r="I27" s="163"/>
      <c r="J27" s="164"/>
      <c r="K27" s="162">
        <f>K25-K26</f>
        <v>0</v>
      </c>
      <c r="L27" s="163"/>
      <c r="M27" s="163"/>
      <c r="N27" s="164"/>
      <c r="O27" s="165">
        <f>O25-O26</f>
        <v>0</v>
      </c>
      <c r="P27" s="163"/>
      <c r="Q27" s="163"/>
      <c r="R27" s="164"/>
      <c r="S27" s="162">
        <v>0</v>
      </c>
      <c r="T27" s="163"/>
      <c r="U27" s="163"/>
      <c r="V27" s="164"/>
      <c r="W27" s="153">
        <f t="shared" si="1"/>
        <v>0</v>
      </c>
      <c r="X27" s="154"/>
      <c r="Y27" s="154"/>
      <c r="Z27" s="155"/>
      <c r="AA27" s="132">
        <f>W21*$L$2/100-AI32</f>
        <v>46.868421052631575</v>
      </c>
      <c r="AB27" s="233"/>
      <c r="AC27" s="233"/>
      <c r="AD27" s="233"/>
      <c r="AE27" s="233"/>
      <c r="AF27" s="233"/>
      <c r="AG27" s="233"/>
      <c r="AH27" s="233"/>
      <c r="AI27" s="233"/>
      <c r="AJ27" s="227">
        <f>AA27-W28</f>
        <v>0</v>
      </c>
      <c r="AK27" s="227"/>
      <c r="AL27" s="227"/>
    </row>
    <row r="28" spans="1:38" ht="12.75">
      <c r="A28" s="187"/>
      <c r="B28" s="125" t="s">
        <v>30</v>
      </c>
      <c r="C28" s="126"/>
      <c r="D28" s="126"/>
      <c r="E28" s="126"/>
      <c r="F28" s="161"/>
      <c r="G28" s="156">
        <f>G21*$L$2/100-AA32</f>
        <v>14.421052631578949</v>
      </c>
      <c r="H28" s="157"/>
      <c r="I28" s="157"/>
      <c r="J28" s="158"/>
      <c r="K28" s="156">
        <f>K21*$L$2/100-AC32</f>
        <v>18.026315789473685</v>
      </c>
      <c r="L28" s="157"/>
      <c r="M28" s="157"/>
      <c r="N28" s="158"/>
      <c r="O28" s="156">
        <f>O21*$L$2/100-AE32</f>
        <v>7.210526315789474</v>
      </c>
      <c r="P28" s="157"/>
      <c r="Q28" s="157"/>
      <c r="R28" s="158"/>
      <c r="S28" s="156">
        <f>S21*$L$2/100-AG32</f>
        <v>7.210526315789474</v>
      </c>
      <c r="T28" s="157"/>
      <c r="U28" s="157"/>
      <c r="V28" s="158"/>
      <c r="W28" s="153">
        <f t="shared" si="1"/>
        <v>46.868421052631575</v>
      </c>
      <c r="X28" s="154"/>
      <c r="Y28" s="154"/>
      <c r="Z28" s="155"/>
      <c r="AA28" s="101">
        <f>IF(G21&lt;G20,$T$5*(G21-G20)*$L$3/100,$T$5*G21/100)</f>
        <v>0.4</v>
      </c>
      <c r="AB28" s="101"/>
      <c r="AC28" s="101">
        <f>IF(K21&lt;K20,$T$5*(K21-K20)*$L$3/100,$T$5*K21/100)</f>
        <v>0.5</v>
      </c>
      <c r="AD28" s="101"/>
      <c r="AE28" s="101">
        <f>IF(O21&lt;O20,$T$5*(O21-O20)*$L$3/100,$T$5*O21/100)</f>
        <v>0.2</v>
      </c>
      <c r="AF28" s="101"/>
      <c r="AG28" s="101">
        <f>IF(S21&lt;S20,$T$5*(S21-S20)*$L$3/100,$T$5*S21/100)</f>
        <v>0.2</v>
      </c>
      <c r="AH28" s="101"/>
      <c r="AI28" s="97">
        <f>SUM(AA28:AH28)</f>
        <v>1.3</v>
      </c>
      <c r="AJ28" s="98"/>
      <c r="AK28" s="98"/>
      <c r="AL28" s="2" t="s">
        <v>277</v>
      </c>
    </row>
    <row r="29" spans="1:38" ht="12.75">
      <c r="A29" s="187"/>
      <c r="B29" s="125" t="s">
        <v>283</v>
      </c>
      <c r="C29" s="126"/>
      <c r="D29" s="126"/>
      <c r="E29" s="126"/>
      <c r="F29" s="161"/>
      <c r="G29" s="156">
        <f>G28-G25-G24+$AI31</f>
        <v>-25.57894736842105</v>
      </c>
      <c r="H29" s="157"/>
      <c r="I29" s="157"/>
      <c r="J29" s="158"/>
      <c r="K29" s="156">
        <f>K28-K25-K24+$AI31</f>
        <v>-16.973684210526315</v>
      </c>
      <c r="L29" s="157"/>
      <c r="M29" s="157"/>
      <c r="N29" s="158"/>
      <c r="O29" s="156">
        <f>O28-O25-O24+$AI31</f>
        <v>-23.589473684210525</v>
      </c>
      <c r="P29" s="157"/>
      <c r="Q29" s="157"/>
      <c r="R29" s="158"/>
      <c r="S29" s="156">
        <f>S28-S25-S24+$AI31</f>
        <v>-23.589473684210525</v>
      </c>
      <c r="T29" s="157"/>
      <c r="U29" s="157"/>
      <c r="V29" s="158"/>
      <c r="W29" s="153">
        <f t="shared" si="1"/>
        <v>-89.73157894736843</v>
      </c>
      <c r="X29" s="154"/>
      <c r="Y29" s="154"/>
      <c r="Z29" s="159"/>
      <c r="AA29" s="101">
        <f>IF(G21&lt;G20,0,$T$3*G21/100)</f>
        <v>0</v>
      </c>
      <c r="AB29" s="101"/>
      <c r="AC29" s="101">
        <f>IF(K21&lt;K20,0,$T$3*K21/100)</f>
        <v>0</v>
      </c>
      <c r="AD29" s="101"/>
      <c r="AE29" s="101">
        <f>IF(O21&lt;O20,0,$T$3*O21/100)</f>
        <v>0</v>
      </c>
      <c r="AF29" s="101"/>
      <c r="AG29" s="101">
        <f>IF(S21&lt;S20,0,$T$3*S21/100)</f>
        <v>0</v>
      </c>
      <c r="AH29" s="101"/>
      <c r="AI29" s="97">
        <f>SUM(AA29:AH29)</f>
        <v>0</v>
      </c>
      <c r="AJ29" s="98"/>
      <c r="AK29" s="98"/>
      <c r="AL29" s="2" t="s">
        <v>248</v>
      </c>
    </row>
    <row r="30" spans="1:38" ht="12.75" customHeight="1">
      <c r="A30" s="187"/>
      <c r="B30" s="125" t="s">
        <v>45</v>
      </c>
      <c r="C30" s="126"/>
      <c r="D30" s="126"/>
      <c r="E30" s="126"/>
      <c r="F30" s="161"/>
      <c r="G30" s="156">
        <f>G29+G27</f>
        <v>-25.57894736842105</v>
      </c>
      <c r="H30" s="157"/>
      <c r="I30" s="157"/>
      <c r="J30" s="158"/>
      <c r="K30" s="160">
        <f>K29+K27</f>
        <v>-16.973684210526315</v>
      </c>
      <c r="L30" s="157"/>
      <c r="M30" s="157"/>
      <c r="N30" s="158"/>
      <c r="O30" s="156">
        <f>O29+O27</f>
        <v>-23.589473684210525</v>
      </c>
      <c r="P30" s="157"/>
      <c r="Q30" s="157"/>
      <c r="R30" s="158"/>
      <c r="S30" s="160">
        <f>S29+S27</f>
        <v>-23.589473684210525</v>
      </c>
      <c r="T30" s="157"/>
      <c r="U30" s="157"/>
      <c r="V30" s="158"/>
      <c r="W30" s="153">
        <f t="shared" si="1"/>
        <v>-89.73157894736843</v>
      </c>
      <c r="X30" s="154"/>
      <c r="Y30" s="154"/>
      <c r="Z30" s="155"/>
      <c r="AA30" s="101">
        <f>IF(G21&lt;G20,0,$T$4*G21/100)</f>
        <v>0</v>
      </c>
      <c r="AB30" s="101"/>
      <c r="AC30" s="101">
        <f>IF(K21&lt;K20,0,$T$4*K21/100)</f>
        <v>0</v>
      </c>
      <c r="AD30" s="101"/>
      <c r="AE30" s="101">
        <f>IF(O21&lt;O20,0,$T$4*O21/100)</f>
        <v>0</v>
      </c>
      <c r="AF30" s="101"/>
      <c r="AG30" s="101">
        <f>IF(S21&lt;S20,0,$T$4*S21/100)</f>
        <v>0</v>
      </c>
      <c r="AH30" s="101"/>
      <c r="AI30" s="97">
        <f>SUM(AA30:AH30)</f>
        <v>0</v>
      </c>
      <c r="AJ30" s="98"/>
      <c r="AK30" s="98"/>
      <c r="AL30" s="2" t="s">
        <v>281</v>
      </c>
    </row>
    <row r="31" spans="1:38" ht="12.75">
      <c r="A31" s="187"/>
      <c r="B31" s="194" t="s">
        <v>26</v>
      </c>
      <c r="C31" s="98"/>
      <c r="D31" s="98"/>
      <c r="E31" s="98"/>
      <c r="F31" s="195"/>
      <c r="G31" s="196">
        <f>$AG23/100*$AL$3</f>
        <v>0</v>
      </c>
      <c r="H31" s="197"/>
      <c r="I31" s="197"/>
      <c r="J31" s="198"/>
      <c r="K31" s="137">
        <f>$AG23/100*$AL$4</f>
        <v>0</v>
      </c>
      <c r="L31" s="138"/>
      <c r="M31" s="138"/>
      <c r="N31" s="139"/>
      <c r="O31" s="137">
        <f>$AG23/100*$AL$4</f>
        <v>0</v>
      </c>
      <c r="P31" s="138"/>
      <c r="Q31" s="138"/>
      <c r="R31" s="139"/>
      <c r="S31" s="137">
        <v>0</v>
      </c>
      <c r="T31" s="138"/>
      <c r="U31" s="138"/>
      <c r="V31" s="139"/>
      <c r="W31" s="153">
        <f t="shared" si="1"/>
        <v>0</v>
      </c>
      <c r="X31" s="154"/>
      <c r="Y31" s="154"/>
      <c r="Z31" s="155"/>
      <c r="AI31" s="224">
        <f>'ЦФУ Продажи'!J$59</f>
        <v>0</v>
      </c>
      <c r="AJ31" s="224"/>
      <c r="AK31" s="224"/>
      <c r="AL31" s="2" t="s">
        <v>280</v>
      </c>
    </row>
    <row r="32" spans="1:38" ht="13.5" thickBot="1">
      <c r="A32" s="187"/>
      <c r="B32" s="191" t="s">
        <v>28</v>
      </c>
      <c r="C32" s="192"/>
      <c r="D32" s="192"/>
      <c r="E32" s="192"/>
      <c r="F32" s="193"/>
      <c r="G32" s="149">
        <f>IF(G31&lt;0,G24,G24+G31)</f>
        <v>20</v>
      </c>
      <c r="H32" s="147"/>
      <c r="I32" s="147"/>
      <c r="J32" s="148"/>
      <c r="K32" s="146">
        <f>IF(K31&lt;0,K24,K24+K31)</f>
        <v>15</v>
      </c>
      <c r="L32" s="147"/>
      <c r="M32" s="147"/>
      <c r="N32" s="148"/>
      <c r="O32" s="149">
        <f>IF(O31&lt;0,O24,O24+O31)</f>
        <v>10.8</v>
      </c>
      <c r="P32" s="147"/>
      <c r="Q32" s="147"/>
      <c r="R32" s="148"/>
      <c r="S32" s="146">
        <f>IF(S31&lt;0,S24,S24+S31)</f>
        <v>10.8</v>
      </c>
      <c r="T32" s="147"/>
      <c r="U32" s="147"/>
      <c r="V32" s="148"/>
      <c r="W32" s="150">
        <f t="shared" si="1"/>
        <v>56.599999999999994</v>
      </c>
      <c r="X32" s="151"/>
      <c r="Y32" s="151"/>
      <c r="Z32" s="152"/>
      <c r="AA32" s="101">
        <f>IF($AI28&gt;0,IF(AA28&gt;=0,0,G21*($T$2+$T$3+$T$5)/100-AA28),IF(G21&lt;G20,G21*($T$2+$T$3+$T$5)/100,AA28))</f>
        <v>0</v>
      </c>
      <c r="AB32" s="101"/>
      <c r="AC32" s="101">
        <f>IF($AI28&gt;=0,IF(AC28&gt;=0,0,K21*($T$2+$T$3+$T$4+$T$5)/100-AC28),IF(AC28&lt;0,K21*($T$2+$T$3+$T$4+$T$5)/100,AC28))</f>
        <v>0</v>
      </c>
      <c r="AD32" s="101"/>
      <c r="AE32" s="101">
        <f>IF($AI28&gt;=0,IF(AE28&gt;=0,0,O21*($T$2+$T$3+$T$4+$T$5)/100-AE28),IF(AE28&lt;0,O21*($T$2+$T$3+$T$4+$T$5)/100,AE28))</f>
        <v>0</v>
      </c>
      <c r="AF32" s="101"/>
      <c r="AG32" s="101">
        <f>IF($AI28&gt;=0,IF(AG28&gt;=0,0,S21*($T$2+$T$3+$T$4+$T$5)/100-AG28),IF(AG28&lt;0,S21*($T$2+$T$3+$T$4+$T$5)/100,AG28))</f>
        <v>0</v>
      </c>
      <c r="AH32" s="101"/>
      <c r="AI32" s="97">
        <f>SUM(AA32:AH32)</f>
        <v>0</v>
      </c>
      <c r="AJ32" s="98"/>
      <c r="AK32" s="98"/>
      <c r="AL32" s="2" t="s">
        <v>218</v>
      </c>
    </row>
    <row r="33" spans="1:35" ht="12.75" customHeight="1">
      <c r="A33" s="188" t="s">
        <v>63</v>
      </c>
      <c r="B33" s="93" t="s">
        <v>23</v>
      </c>
      <c r="C33" s="94"/>
      <c r="D33" s="94"/>
      <c r="E33" s="94"/>
      <c r="F33" s="199"/>
      <c r="G33" s="185">
        <v>560</v>
      </c>
      <c r="H33" s="183"/>
      <c r="I33" s="183"/>
      <c r="J33" s="184"/>
      <c r="K33" s="182">
        <v>700</v>
      </c>
      <c r="L33" s="183"/>
      <c r="M33" s="183"/>
      <c r="N33" s="184"/>
      <c r="O33" s="185">
        <v>500</v>
      </c>
      <c r="P33" s="183"/>
      <c r="Q33" s="183"/>
      <c r="R33" s="184"/>
      <c r="S33" s="182">
        <v>200</v>
      </c>
      <c r="T33" s="183"/>
      <c r="U33" s="183"/>
      <c r="V33" s="184"/>
      <c r="W33" s="170">
        <f t="shared" si="0"/>
        <v>1960</v>
      </c>
      <c r="X33" s="171"/>
      <c r="Y33" s="171"/>
      <c r="Z33" s="172"/>
      <c r="AA33" s="93" t="s">
        <v>53</v>
      </c>
      <c r="AB33" s="94"/>
      <c r="AC33" s="94"/>
      <c r="AD33" s="94"/>
      <c r="AE33" s="94"/>
      <c r="AF33" s="94"/>
      <c r="AG33" s="173">
        <f>(W38+$N$2*AG39)/W33*100+$Q$2+$T$2+$T$3+$T$5</f>
        <v>7.214285714285714</v>
      </c>
      <c r="AH33" s="174"/>
      <c r="AI33" s="175"/>
    </row>
    <row r="34" spans="1:36" ht="12.75">
      <c r="A34" s="187"/>
      <c r="B34" s="125" t="s">
        <v>24</v>
      </c>
      <c r="C34" s="126"/>
      <c r="D34" s="126"/>
      <c r="E34" s="126"/>
      <c r="F34" s="161"/>
      <c r="G34" s="169">
        <v>560</v>
      </c>
      <c r="H34" s="167"/>
      <c r="I34" s="167"/>
      <c r="J34" s="168"/>
      <c r="K34" s="166">
        <v>700</v>
      </c>
      <c r="L34" s="167"/>
      <c r="M34" s="167"/>
      <c r="N34" s="168"/>
      <c r="O34" s="169">
        <v>500</v>
      </c>
      <c r="P34" s="167"/>
      <c r="Q34" s="167"/>
      <c r="R34" s="168"/>
      <c r="S34" s="166">
        <v>200</v>
      </c>
      <c r="T34" s="167"/>
      <c r="U34" s="167"/>
      <c r="V34" s="168"/>
      <c r="W34" s="153">
        <f t="shared" si="0"/>
        <v>1960</v>
      </c>
      <c r="X34" s="154"/>
      <c r="Y34" s="154"/>
      <c r="Z34" s="155"/>
      <c r="AA34" s="125" t="s">
        <v>54</v>
      </c>
      <c r="AB34" s="126"/>
      <c r="AC34" s="126"/>
      <c r="AD34" s="126"/>
      <c r="AE34" s="126"/>
      <c r="AF34" s="126"/>
      <c r="AG34" s="180">
        <f>(AG33-$L$2)*W33/100</f>
        <v>70.73684210526316</v>
      </c>
      <c r="AH34" s="180"/>
      <c r="AI34" s="181"/>
      <c r="AJ34" s="2" t="s">
        <v>284</v>
      </c>
    </row>
    <row r="35" spans="1:43" ht="12.75">
      <c r="A35" s="187"/>
      <c r="B35" s="125" t="s">
        <v>29</v>
      </c>
      <c r="C35" s="126"/>
      <c r="D35" s="126"/>
      <c r="E35" s="126"/>
      <c r="F35" s="161"/>
      <c r="G35" s="156">
        <f>IF(G33&lt;=G34,$N$2+G34/100*($Q$2+$T$2)+$AI42/$AG39+$AI44+IF(AI41&gt;0,AI41,0),$N$2+G34/100*$Q$2+$AI42/$AG39+$AI44+IF(AI41&gt;0,AI41,0))</f>
        <v>17.8</v>
      </c>
      <c r="H35" s="157"/>
      <c r="I35" s="157"/>
      <c r="J35" s="158"/>
      <c r="K35" s="156">
        <f>IF(K33&lt;=K34,$N$2+K34/100*($Q$2+$T$2)+$AI42/$AG39+$AI44,$N$2+K34/100*$Q$2+$AI42/$AG39+$AI44)</f>
        <v>17.799999999999997</v>
      </c>
      <c r="L35" s="157"/>
      <c r="M35" s="157"/>
      <c r="N35" s="158"/>
      <c r="O35" s="156">
        <f>IF(O33&lt;=O34,$N$2+O34/100*($Q$2+$T$2)+$AI42/$AG39+$AI44,$N$2+O34/100*$Q$2+$AI42/$AG39+$AI44)</f>
        <v>15</v>
      </c>
      <c r="P35" s="157"/>
      <c r="Q35" s="157"/>
      <c r="R35" s="158"/>
      <c r="S35" s="156">
        <f>IF(S33&lt;=S34,$N$2+S34/100*($Q$2+$T$2)+$AI42/$AG39+$AI44,$N$2+S34/100*$Q$2+$AI42/$AG39+$AI44)</f>
        <v>10.8</v>
      </c>
      <c r="T35" s="157"/>
      <c r="U35" s="157"/>
      <c r="V35" s="158"/>
      <c r="W35" s="153">
        <f aca="true" t="shared" si="2" ref="W35:W45">G35+K35+O35+S35</f>
        <v>61.39999999999999</v>
      </c>
      <c r="X35" s="154"/>
      <c r="Y35" s="154"/>
      <c r="Z35" s="155"/>
      <c r="AA35" s="205" t="s">
        <v>55</v>
      </c>
      <c r="AB35" s="126"/>
      <c r="AC35" s="126"/>
      <c r="AD35" s="126"/>
      <c r="AE35" s="126"/>
      <c r="AF35" s="126"/>
      <c r="AG35" s="122">
        <f>SUM(AJ36:AQ36)+AG34</f>
        <v>72.93684210526317</v>
      </c>
      <c r="AH35" s="123"/>
      <c r="AI35" s="124"/>
      <c r="AJ35" s="225">
        <f>$N$2+G33*($Q$2+$T$2+$T$3/$AG39)/100+$T$5*$W33/100</f>
        <v>17.8</v>
      </c>
      <c r="AK35" s="226"/>
      <c r="AL35" s="225">
        <f>$N$2+K33*($Q$2+$T$2+$T$3/$AG39)/100</f>
        <v>17.799999999999997</v>
      </c>
      <c r="AM35" s="226"/>
      <c r="AN35" s="225">
        <f>$N$2+O33*($Q$2+$T$2+$T$3/$AG39)/100</f>
        <v>15</v>
      </c>
      <c r="AO35" s="226"/>
      <c r="AP35" s="225">
        <f>$N$2+S33*($Q$2+$T$2+$T$3/$AG39)/100</f>
        <v>10.8</v>
      </c>
      <c r="AQ35" s="226"/>
    </row>
    <row r="36" spans="1:43" ht="12.75">
      <c r="A36" s="187"/>
      <c r="B36" s="125" t="s">
        <v>10</v>
      </c>
      <c r="C36" s="126"/>
      <c r="D36" s="126"/>
      <c r="E36" s="126"/>
      <c r="F36" s="161"/>
      <c r="G36" s="169">
        <v>20</v>
      </c>
      <c r="H36" s="167"/>
      <c r="I36" s="167"/>
      <c r="J36" s="168"/>
      <c r="K36" s="166">
        <v>8</v>
      </c>
      <c r="L36" s="167"/>
      <c r="M36" s="167"/>
      <c r="N36" s="168"/>
      <c r="O36" s="169">
        <v>8</v>
      </c>
      <c r="P36" s="167"/>
      <c r="Q36" s="167"/>
      <c r="R36" s="168"/>
      <c r="S36" s="166">
        <v>0</v>
      </c>
      <c r="T36" s="167"/>
      <c r="U36" s="167"/>
      <c r="V36" s="168"/>
      <c r="W36" s="153">
        <f t="shared" si="2"/>
        <v>36</v>
      </c>
      <c r="X36" s="154"/>
      <c r="Y36" s="154"/>
      <c r="Z36" s="155"/>
      <c r="AA36" s="205" t="s">
        <v>56</v>
      </c>
      <c r="AB36" s="126"/>
      <c r="AC36" s="126"/>
      <c r="AD36" s="126"/>
      <c r="AE36" s="126"/>
      <c r="AF36" s="126"/>
      <c r="AG36" s="134">
        <f>W43+AG35</f>
        <v>0</v>
      </c>
      <c r="AH36" s="134"/>
      <c r="AI36" s="135"/>
      <c r="AJ36" s="225">
        <f>IF(AJ35&gt;G36,0,G36-AJ35)</f>
        <v>2.1999999999999993</v>
      </c>
      <c r="AK36" s="226"/>
      <c r="AL36" s="225">
        <f>IF(AL35&gt;K36,0,K36-AL35)</f>
        <v>0</v>
      </c>
      <c r="AM36" s="226"/>
      <c r="AN36" s="225">
        <f>IF(AN35&gt;O36,0,O36-AN35)</f>
        <v>0</v>
      </c>
      <c r="AO36" s="226"/>
      <c r="AP36" s="225">
        <f>IF(AP35&gt;S36,0,S36-AP35)</f>
        <v>0</v>
      </c>
      <c r="AQ36" s="226"/>
    </row>
    <row r="37" spans="1:35" ht="13.5" thickBot="1">
      <c r="A37" s="187"/>
      <c r="B37" s="125" t="s">
        <v>58</v>
      </c>
      <c r="C37" s="126"/>
      <c r="D37" s="126"/>
      <c r="E37" s="126"/>
      <c r="F37" s="161"/>
      <c r="G37" s="156">
        <f>IF(G35&lt;G36,G36,G35)</f>
        <v>20</v>
      </c>
      <c r="H37" s="157"/>
      <c r="I37" s="157"/>
      <c r="J37" s="158"/>
      <c r="K37" s="160">
        <f>IF(K35&lt;K36,K36,K35)</f>
        <v>17.799999999999997</v>
      </c>
      <c r="L37" s="157"/>
      <c r="M37" s="157"/>
      <c r="N37" s="158"/>
      <c r="O37" s="156">
        <f>IF(O35&lt;O36,O36,O35)</f>
        <v>15</v>
      </c>
      <c r="P37" s="157"/>
      <c r="Q37" s="157"/>
      <c r="R37" s="158"/>
      <c r="S37" s="160">
        <f>IF(S35&lt;S36,S36,S35)</f>
        <v>10.8</v>
      </c>
      <c r="T37" s="157"/>
      <c r="U37" s="157"/>
      <c r="V37" s="158"/>
      <c r="W37" s="153">
        <f t="shared" si="2"/>
        <v>63.599999999999994</v>
      </c>
      <c r="X37" s="154"/>
      <c r="Y37" s="154"/>
      <c r="Z37" s="155"/>
      <c r="AA37" s="232" t="s">
        <v>57</v>
      </c>
      <c r="AB37" s="90"/>
      <c r="AC37" s="90"/>
      <c r="AD37" s="90"/>
      <c r="AE37" s="90"/>
      <c r="AF37" s="90"/>
      <c r="AG37" s="91">
        <f>-AG35+AG36-W44</f>
        <v>-72.93684210526317</v>
      </c>
      <c r="AH37" s="91"/>
      <c r="AI37" s="85"/>
    </row>
    <row r="38" spans="1:35" ht="13.5" thickBot="1">
      <c r="A38" s="187"/>
      <c r="B38" s="125" t="s">
        <v>41</v>
      </c>
      <c r="C38" s="126"/>
      <c r="D38" s="126"/>
      <c r="E38" s="126"/>
      <c r="F38" s="161"/>
      <c r="G38" s="156">
        <v>20</v>
      </c>
      <c r="H38" s="157"/>
      <c r="I38" s="157"/>
      <c r="J38" s="158"/>
      <c r="K38" s="160">
        <v>20</v>
      </c>
      <c r="L38" s="157"/>
      <c r="M38" s="157"/>
      <c r="N38" s="158"/>
      <c r="O38" s="156">
        <v>20</v>
      </c>
      <c r="P38" s="157"/>
      <c r="Q38" s="157"/>
      <c r="R38" s="158"/>
      <c r="S38" s="160">
        <v>20</v>
      </c>
      <c r="T38" s="157"/>
      <c r="U38" s="157"/>
      <c r="V38" s="158"/>
      <c r="W38" s="153">
        <f t="shared" si="2"/>
        <v>80</v>
      </c>
      <c r="X38" s="154"/>
      <c r="Y38" s="154"/>
      <c r="Z38" s="155"/>
      <c r="AA38" s="230" t="s">
        <v>59</v>
      </c>
      <c r="AB38" s="231"/>
      <c r="AC38" s="231"/>
      <c r="AD38" s="231"/>
      <c r="AE38" s="231"/>
      <c r="AF38" s="231"/>
      <c r="AG38" s="88">
        <f>AG35+AG37</f>
        <v>0</v>
      </c>
      <c r="AH38" s="89"/>
      <c r="AI38" s="84"/>
    </row>
    <row r="39" spans="1:35" ht="12.75">
      <c r="A39" s="187"/>
      <c r="B39" s="125" t="s">
        <v>42</v>
      </c>
      <c r="C39" s="126"/>
      <c r="D39" s="126"/>
      <c r="E39" s="126"/>
      <c r="F39" s="161"/>
      <c r="G39" s="169">
        <v>20</v>
      </c>
      <c r="H39" s="167"/>
      <c r="I39" s="167"/>
      <c r="J39" s="168"/>
      <c r="K39" s="166">
        <v>20</v>
      </c>
      <c r="L39" s="167"/>
      <c r="M39" s="167"/>
      <c r="N39" s="168"/>
      <c r="O39" s="169">
        <v>20</v>
      </c>
      <c r="P39" s="167"/>
      <c r="Q39" s="167"/>
      <c r="R39" s="168"/>
      <c r="S39" s="166">
        <v>20</v>
      </c>
      <c r="T39" s="167"/>
      <c r="U39" s="167"/>
      <c r="V39" s="168"/>
      <c r="W39" s="153">
        <f t="shared" si="2"/>
        <v>80</v>
      </c>
      <c r="X39" s="154"/>
      <c r="Y39" s="154"/>
      <c r="Z39" s="155"/>
      <c r="AA39" s="228" t="s">
        <v>279</v>
      </c>
      <c r="AB39" s="229"/>
      <c r="AC39" s="229"/>
      <c r="AD39" s="229"/>
      <c r="AE39" s="229"/>
      <c r="AF39" s="229"/>
      <c r="AG39" s="95">
        <v>4</v>
      </c>
      <c r="AH39" s="95"/>
      <c r="AI39" s="95"/>
    </row>
    <row r="40" spans="1:35" ht="12.75">
      <c r="A40" s="187"/>
      <c r="B40" s="125" t="s">
        <v>43</v>
      </c>
      <c r="C40" s="126"/>
      <c r="D40" s="126"/>
      <c r="E40" s="126"/>
      <c r="F40" s="161"/>
      <c r="G40" s="165">
        <f>G38-G39</f>
        <v>0</v>
      </c>
      <c r="H40" s="163"/>
      <c r="I40" s="163"/>
      <c r="J40" s="164"/>
      <c r="K40" s="162">
        <f>K38-K39</f>
        <v>0</v>
      </c>
      <c r="L40" s="163"/>
      <c r="M40" s="163"/>
      <c r="N40" s="164"/>
      <c r="O40" s="165">
        <f>O38-O39</f>
        <v>0</v>
      </c>
      <c r="P40" s="163"/>
      <c r="Q40" s="163"/>
      <c r="R40" s="164"/>
      <c r="S40" s="162">
        <v>0</v>
      </c>
      <c r="T40" s="163"/>
      <c r="U40" s="163"/>
      <c r="V40" s="164"/>
      <c r="W40" s="153">
        <f t="shared" si="2"/>
        <v>0</v>
      </c>
      <c r="X40" s="154"/>
      <c r="Y40" s="154"/>
      <c r="Z40" s="155"/>
      <c r="AA40" s="132">
        <f>W34*$L$2/100-AI45</f>
        <v>70.66315789473684</v>
      </c>
      <c r="AB40" s="233"/>
      <c r="AC40" s="233"/>
      <c r="AD40" s="233"/>
      <c r="AE40" s="233"/>
      <c r="AF40" s="233"/>
      <c r="AG40" s="233"/>
      <c r="AH40" s="233"/>
      <c r="AI40" s="233"/>
    </row>
    <row r="41" spans="1:38" ht="12.75">
      <c r="A41" s="187"/>
      <c r="B41" s="125" t="s">
        <v>30</v>
      </c>
      <c r="C41" s="126"/>
      <c r="D41" s="126"/>
      <c r="E41" s="126"/>
      <c r="F41" s="161"/>
      <c r="G41" s="156">
        <f>G34*$L$2/100-AA45</f>
        <v>20.189473684210526</v>
      </c>
      <c r="H41" s="157"/>
      <c r="I41" s="157"/>
      <c r="J41" s="158"/>
      <c r="K41" s="156">
        <f>K34*$L$2/100-AC45</f>
        <v>25.236842105263158</v>
      </c>
      <c r="L41" s="157"/>
      <c r="M41" s="157"/>
      <c r="N41" s="158"/>
      <c r="O41" s="156">
        <f>O34*$L$2/100-AE45</f>
        <v>18.026315789473685</v>
      </c>
      <c r="P41" s="157"/>
      <c r="Q41" s="157"/>
      <c r="R41" s="158"/>
      <c r="S41" s="156">
        <f>S34*$L$2/100-AG45</f>
        <v>7.210526315789474</v>
      </c>
      <c r="T41" s="157"/>
      <c r="U41" s="157"/>
      <c r="V41" s="158"/>
      <c r="W41" s="153">
        <f t="shared" si="2"/>
        <v>70.66315789473684</v>
      </c>
      <c r="X41" s="154"/>
      <c r="Y41" s="154"/>
      <c r="Z41" s="155"/>
      <c r="AA41" s="101">
        <f>IF(G34&lt;G33,$T$5*(G34-G33)*$L$3/100,$T$5*G34/100)</f>
        <v>0.56</v>
      </c>
      <c r="AB41" s="101"/>
      <c r="AC41" s="101">
        <f>IF(K34&lt;K33,$T$5*(K34-K33)*$L$3/100,$T$5*K34/100)</f>
        <v>0.7</v>
      </c>
      <c r="AD41" s="101"/>
      <c r="AE41" s="101">
        <f>IF(O34&lt;O33,$T$5*(O34-O33)*$L$3/100,$T$5*O34/100)</f>
        <v>0.5</v>
      </c>
      <c r="AF41" s="101"/>
      <c r="AG41" s="101">
        <f>IF(S34&lt;S33,$T$5*(S34-S33)*$L$3/100,$T$5*S34/100)</f>
        <v>0.2</v>
      </c>
      <c r="AH41" s="101"/>
      <c r="AI41" s="97">
        <f>SUM(AA41:AH41)</f>
        <v>1.96</v>
      </c>
      <c r="AJ41" s="98"/>
      <c r="AK41" s="98"/>
      <c r="AL41" s="2" t="s">
        <v>277</v>
      </c>
    </row>
    <row r="42" spans="1:38" ht="12.75">
      <c r="A42" s="187"/>
      <c r="B42" s="125" t="s">
        <v>283</v>
      </c>
      <c r="C42" s="126"/>
      <c r="D42" s="126"/>
      <c r="E42" s="126"/>
      <c r="F42" s="161"/>
      <c r="G42" s="156">
        <f>G41-G38-G37+$AI44</f>
        <v>-19.810526315789474</v>
      </c>
      <c r="H42" s="157"/>
      <c r="I42" s="157"/>
      <c r="J42" s="158"/>
      <c r="K42" s="156">
        <f>K41-K38-K37+$AI44</f>
        <v>-12.56315789473684</v>
      </c>
      <c r="L42" s="157"/>
      <c r="M42" s="157"/>
      <c r="N42" s="158"/>
      <c r="O42" s="156">
        <f>O41-O38-O37+$AI44</f>
        <v>-16.973684210526315</v>
      </c>
      <c r="P42" s="157"/>
      <c r="Q42" s="157"/>
      <c r="R42" s="158"/>
      <c r="S42" s="156">
        <f>S41-S38-S37+$AI44</f>
        <v>-23.589473684210525</v>
      </c>
      <c r="T42" s="157"/>
      <c r="U42" s="157"/>
      <c r="V42" s="158"/>
      <c r="W42" s="153">
        <f t="shared" si="2"/>
        <v>-72.93684210526315</v>
      </c>
      <c r="X42" s="154"/>
      <c r="Y42" s="154"/>
      <c r="Z42" s="159"/>
      <c r="AA42" s="101">
        <f>IF(G34&lt;G33,0,$T$3*G34/100)</f>
        <v>0</v>
      </c>
      <c r="AB42" s="101"/>
      <c r="AC42" s="101">
        <f>IF(K34&lt;K33,0,$T$3*K34/100)</f>
        <v>0</v>
      </c>
      <c r="AD42" s="101"/>
      <c r="AE42" s="101">
        <f>IF(O34&lt;O33,0,$T$3*O34/100)</f>
        <v>0</v>
      </c>
      <c r="AF42" s="101"/>
      <c r="AG42" s="101">
        <f>IF(S34&lt;S33,0,$T$3*S34/100)</f>
        <v>0</v>
      </c>
      <c r="AH42" s="101"/>
      <c r="AI42" s="97">
        <f>SUM(AA42:AH42)</f>
        <v>0</v>
      </c>
      <c r="AJ42" s="98"/>
      <c r="AK42" s="98"/>
      <c r="AL42" s="2" t="s">
        <v>248</v>
      </c>
    </row>
    <row r="43" spans="1:38" ht="12.75" customHeight="1">
      <c r="A43" s="187"/>
      <c r="B43" s="125" t="s">
        <v>45</v>
      </c>
      <c r="C43" s="126"/>
      <c r="D43" s="126"/>
      <c r="E43" s="126"/>
      <c r="F43" s="161"/>
      <c r="G43" s="156">
        <f>G42+G40</f>
        <v>-19.810526315789474</v>
      </c>
      <c r="H43" s="157"/>
      <c r="I43" s="157"/>
      <c r="J43" s="158"/>
      <c r="K43" s="160">
        <f>K42+K40</f>
        <v>-12.56315789473684</v>
      </c>
      <c r="L43" s="157"/>
      <c r="M43" s="157"/>
      <c r="N43" s="158"/>
      <c r="O43" s="156">
        <f>O42+O40</f>
        <v>-16.973684210526315</v>
      </c>
      <c r="P43" s="157"/>
      <c r="Q43" s="157"/>
      <c r="R43" s="158"/>
      <c r="S43" s="160">
        <f>S42+S40</f>
        <v>-23.589473684210525</v>
      </c>
      <c r="T43" s="157"/>
      <c r="U43" s="157"/>
      <c r="V43" s="158"/>
      <c r="W43" s="153">
        <f t="shared" si="2"/>
        <v>-72.93684210526315</v>
      </c>
      <c r="X43" s="154"/>
      <c r="Y43" s="154"/>
      <c r="Z43" s="155"/>
      <c r="AA43" s="101">
        <f>IF(G34&lt;G33,0,$T$4*G34/100)</f>
        <v>0</v>
      </c>
      <c r="AB43" s="101"/>
      <c r="AC43" s="101">
        <f>IF(K34&lt;K33,0,$T$4*K34/100)</f>
        <v>0</v>
      </c>
      <c r="AD43" s="101"/>
      <c r="AE43" s="101">
        <f>IF(O34&lt;O33,0,$T$4*O34/100)</f>
        <v>0</v>
      </c>
      <c r="AF43" s="101"/>
      <c r="AG43" s="101">
        <f>IF(S34&lt;S33,0,$T$4*S34/100)</f>
        <v>0</v>
      </c>
      <c r="AH43" s="101"/>
      <c r="AI43" s="97">
        <f>SUM(AA43:AH43)</f>
        <v>0</v>
      </c>
      <c r="AJ43" s="98"/>
      <c r="AK43" s="98"/>
      <c r="AL43" s="2" t="s">
        <v>281</v>
      </c>
    </row>
    <row r="44" spans="1:38" ht="12.75">
      <c r="A44" s="187"/>
      <c r="B44" s="194" t="s">
        <v>26</v>
      </c>
      <c r="C44" s="98"/>
      <c r="D44" s="98"/>
      <c r="E44" s="98"/>
      <c r="F44" s="195"/>
      <c r="G44" s="196">
        <f>$AG36/100*$AL$3</f>
        <v>0</v>
      </c>
      <c r="H44" s="197"/>
      <c r="I44" s="197"/>
      <c r="J44" s="198"/>
      <c r="K44" s="137">
        <f>$AG36/100*$AL$4</f>
        <v>0</v>
      </c>
      <c r="L44" s="138"/>
      <c r="M44" s="138"/>
      <c r="N44" s="139"/>
      <c r="O44" s="137">
        <f>$AG36/100*$AL$4</f>
        <v>0</v>
      </c>
      <c r="P44" s="138"/>
      <c r="Q44" s="138"/>
      <c r="R44" s="139"/>
      <c r="S44" s="137">
        <v>0</v>
      </c>
      <c r="T44" s="138"/>
      <c r="U44" s="138"/>
      <c r="V44" s="139"/>
      <c r="W44" s="153">
        <f t="shared" si="2"/>
        <v>0</v>
      </c>
      <c r="X44" s="154"/>
      <c r="Y44" s="154"/>
      <c r="Z44" s="155"/>
      <c r="AI44" s="224">
        <f>'ЦФУ Продажи'!M$59</f>
        <v>0</v>
      </c>
      <c r="AJ44" s="224"/>
      <c r="AK44" s="224"/>
      <c r="AL44" s="2" t="s">
        <v>280</v>
      </c>
    </row>
    <row r="45" spans="1:38" ht="13.5" thickBot="1">
      <c r="A45" s="187"/>
      <c r="B45" s="191" t="s">
        <v>28</v>
      </c>
      <c r="C45" s="192"/>
      <c r="D45" s="192"/>
      <c r="E45" s="192"/>
      <c r="F45" s="193"/>
      <c r="G45" s="149">
        <f>IF(G44&lt;0,G37,G37+G44)</f>
        <v>20</v>
      </c>
      <c r="H45" s="147"/>
      <c r="I45" s="147"/>
      <c r="J45" s="148"/>
      <c r="K45" s="146">
        <f>IF(K44&lt;0,K37,K37+K44)</f>
        <v>17.799999999999997</v>
      </c>
      <c r="L45" s="147"/>
      <c r="M45" s="147"/>
      <c r="N45" s="148"/>
      <c r="O45" s="149">
        <f>IF(O44&lt;0,O37,O37+O44)</f>
        <v>15</v>
      </c>
      <c r="P45" s="147"/>
      <c r="Q45" s="147"/>
      <c r="R45" s="148"/>
      <c r="S45" s="146">
        <f>IF(S44&lt;0,S37,S37+S44)</f>
        <v>10.8</v>
      </c>
      <c r="T45" s="147"/>
      <c r="U45" s="147"/>
      <c r="V45" s="148"/>
      <c r="W45" s="150">
        <f t="shared" si="2"/>
        <v>63.599999999999994</v>
      </c>
      <c r="X45" s="151"/>
      <c r="Y45" s="151"/>
      <c r="Z45" s="152"/>
      <c r="AA45" s="101">
        <f>IF($AI41&gt;0,IF(AA41&gt;=0,0,G34*($T$2+$T$3+$T$5)/100-AA41),IF(G34&lt;G33,G34*($T$2+$T$3+$T$5)/100,AA41))</f>
        <v>0</v>
      </c>
      <c r="AB45" s="101"/>
      <c r="AC45" s="101">
        <f>IF($AI41&gt;=0,IF(AC41&gt;=0,0,K34*($T$2+$T$3+$T$4+$T$5)/100-AC41),IF(AC41&lt;0,K34*($T$2+$T$3+$T$4+$T$5)/100,AC41))</f>
        <v>0</v>
      </c>
      <c r="AD45" s="101"/>
      <c r="AE45" s="101">
        <f>IF($AI41&gt;=0,IF(AE41&gt;=0,0,O34*($T$2+$T$3+$T$4+$T$5)/100-AE41),IF(AE41&lt;0,O34*($T$2+$T$3+$T$4+$T$5)/100,AE41))</f>
        <v>0</v>
      </c>
      <c r="AF45" s="101"/>
      <c r="AG45" s="101">
        <f>IF($AI41&gt;=0,IF(AG41&gt;=0,0,S34*($T$2+$T$3+$T$4+$T$5)/100-AG41),IF(AG41&lt;0,S34*($T$2+$T$3+$T$4+$T$5)/100,AG41))</f>
        <v>0</v>
      </c>
      <c r="AH45" s="101"/>
      <c r="AI45" s="97">
        <f>SUM(AA45:AH45)</f>
        <v>0</v>
      </c>
      <c r="AJ45" s="98"/>
      <c r="AK45" s="98"/>
      <c r="AL45" s="2" t="s">
        <v>218</v>
      </c>
    </row>
    <row r="46" spans="1:35" ht="12.75" customHeight="1">
      <c r="A46" s="188" t="s">
        <v>64</v>
      </c>
      <c r="B46" s="93" t="s">
        <v>23</v>
      </c>
      <c r="C46" s="94"/>
      <c r="D46" s="94"/>
      <c r="E46" s="94"/>
      <c r="F46" s="199"/>
      <c r="G46" s="185">
        <v>800</v>
      </c>
      <c r="H46" s="183"/>
      <c r="I46" s="183"/>
      <c r="J46" s="184"/>
      <c r="K46" s="182">
        <v>1000</v>
      </c>
      <c r="L46" s="183"/>
      <c r="M46" s="183"/>
      <c r="N46" s="184"/>
      <c r="O46" s="185">
        <v>700</v>
      </c>
      <c r="P46" s="183"/>
      <c r="Q46" s="183"/>
      <c r="R46" s="184"/>
      <c r="S46" s="182">
        <v>500</v>
      </c>
      <c r="T46" s="183"/>
      <c r="U46" s="183"/>
      <c r="V46" s="184"/>
      <c r="W46" s="170">
        <f aca="true" t="shared" si="3" ref="W46:W71">G46+K46+O46+S46</f>
        <v>3000</v>
      </c>
      <c r="X46" s="171"/>
      <c r="Y46" s="171"/>
      <c r="Z46" s="172"/>
      <c r="AA46" s="234" t="s">
        <v>53</v>
      </c>
      <c r="AB46" s="235"/>
      <c r="AC46" s="235"/>
      <c r="AD46" s="235"/>
      <c r="AE46" s="235"/>
      <c r="AF46" s="236"/>
      <c r="AG46" s="173">
        <f>(W51+$N$2*AG52)/W46*100+$Q$2+$T$2+$T$3+$T$5</f>
        <v>5.233333333333334</v>
      </c>
      <c r="AH46" s="174"/>
      <c r="AI46" s="175"/>
    </row>
    <row r="47" spans="1:36" ht="12.75">
      <c r="A47" s="187"/>
      <c r="B47" s="125" t="s">
        <v>24</v>
      </c>
      <c r="C47" s="126"/>
      <c r="D47" s="126"/>
      <c r="E47" s="126"/>
      <c r="F47" s="161"/>
      <c r="G47" s="169">
        <v>800</v>
      </c>
      <c r="H47" s="167"/>
      <c r="I47" s="167"/>
      <c r="J47" s="168"/>
      <c r="K47" s="166">
        <v>1000</v>
      </c>
      <c r="L47" s="167"/>
      <c r="M47" s="167"/>
      <c r="N47" s="168"/>
      <c r="O47" s="169">
        <v>700</v>
      </c>
      <c r="P47" s="167"/>
      <c r="Q47" s="167"/>
      <c r="R47" s="168"/>
      <c r="S47" s="166">
        <v>500</v>
      </c>
      <c r="T47" s="167"/>
      <c r="U47" s="167"/>
      <c r="V47" s="168"/>
      <c r="W47" s="153">
        <f t="shared" si="3"/>
        <v>3000</v>
      </c>
      <c r="X47" s="154"/>
      <c r="Y47" s="154"/>
      <c r="Z47" s="155"/>
      <c r="AA47" s="237" t="s">
        <v>54</v>
      </c>
      <c r="AB47" s="204"/>
      <c r="AC47" s="204"/>
      <c r="AD47" s="204"/>
      <c r="AE47" s="204"/>
      <c r="AF47" s="205"/>
      <c r="AG47" s="180">
        <f>(AG46-$L$2)*W46/100</f>
        <v>48.842105263157926</v>
      </c>
      <c r="AH47" s="180"/>
      <c r="AI47" s="181"/>
      <c r="AJ47" s="2" t="s">
        <v>284</v>
      </c>
    </row>
    <row r="48" spans="1:43" ht="12.75">
      <c r="A48" s="187"/>
      <c r="B48" s="125" t="s">
        <v>29</v>
      </c>
      <c r="C48" s="126"/>
      <c r="D48" s="126"/>
      <c r="E48" s="126"/>
      <c r="F48" s="161"/>
      <c r="G48" s="156">
        <f>IF(G46&lt;=G47,$N$2+G47/100*($Q$2+$T$2)+$AI55/$AG52+$AI57+IF(AI54&gt;0,AI54,0),$N$2+G47/100*$Q$2+$AI55/$AG52+$AI57+IF(AI54&gt;0,AI54,0))</f>
        <v>22.2</v>
      </c>
      <c r="H48" s="157"/>
      <c r="I48" s="157"/>
      <c r="J48" s="158"/>
      <c r="K48" s="156">
        <f>IF(K46&lt;=K47,$N$2+K47/100*($Q$2+$T$2)+$AI55/$AG52+$AI57,$N$2+K47/100*$Q$2+$AI55/$AG52+$AI57)</f>
        <v>22</v>
      </c>
      <c r="L48" s="157"/>
      <c r="M48" s="157"/>
      <c r="N48" s="158"/>
      <c r="O48" s="156">
        <f>IF(O46&lt;=O47,$N$2+O47/100*($Q$2+$T$2)+$AI55/$AG52+$AI57,$N$2+O47/100*$Q$2+$AI55/$AG52+$AI57)</f>
        <v>17.799999999999997</v>
      </c>
      <c r="P48" s="157"/>
      <c r="Q48" s="157"/>
      <c r="R48" s="158"/>
      <c r="S48" s="156">
        <f>IF(S46&lt;=S47,$N$2+S47/100*($Q$2+$T$2)+$AI55/$AG52+$AI57,$N$2+S47/100*$Q$2+$AI55/$AG52+$AI57)</f>
        <v>15</v>
      </c>
      <c r="T48" s="157"/>
      <c r="U48" s="157"/>
      <c r="V48" s="158"/>
      <c r="W48" s="153">
        <f t="shared" si="3"/>
        <v>77</v>
      </c>
      <c r="X48" s="154"/>
      <c r="Y48" s="154"/>
      <c r="Z48" s="155"/>
      <c r="AA48" s="205" t="s">
        <v>55</v>
      </c>
      <c r="AB48" s="126"/>
      <c r="AC48" s="126"/>
      <c r="AD48" s="126"/>
      <c r="AE48" s="126"/>
      <c r="AF48" s="126"/>
      <c r="AG48" s="122">
        <f>SUM(AJ49:AQ49)+AG47</f>
        <v>48.842105263157926</v>
      </c>
      <c r="AH48" s="123"/>
      <c r="AI48" s="124"/>
      <c r="AJ48" s="225">
        <f>$N$2+G46*($Q$2+$T$2+$T$3/$AG52)/100+$T$5*$W46/100</f>
        <v>22.2</v>
      </c>
      <c r="AK48" s="226"/>
      <c r="AL48" s="225">
        <f>$N$2+K46*($Q$2+$T$2+$T$3/$AG52)/100</f>
        <v>22</v>
      </c>
      <c r="AM48" s="226"/>
      <c r="AN48" s="225">
        <f>$N$2+O46*($Q$2+$T$2+$T$3/$AG52)/100</f>
        <v>17.799999999999997</v>
      </c>
      <c r="AO48" s="226"/>
      <c r="AP48" s="225">
        <f>$N$2+S46*($Q$2+$T$2+$T$3/$AG52)/100</f>
        <v>15</v>
      </c>
      <c r="AQ48" s="226"/>
    </row>
    <row r="49" spans="1:43" ht="12.75">
      <c r="A49" s="187"/>
      <c r="B49" s="125" t="s">
        <v>10</v>
      </c>
      <c r="C49" s="126"/>
      <c r="D49" s="126"/>
      <c r="E49" s="126"/>
      <c r="F49" s="161"/>
      <c r="G49" s="169">
        <v>20</v>
      </c>
      <c r="H49" s="167"/>
      <c r="I49" s="167"/>
      <c r="J49" s="168"/>
      <c r="K49" s="166">
        <v>8</v>
      </c>
      <c r="L49" s="167"/>
      <c r="M49" s="167"/>
      <c r="N49" s="168"/>
      <c r="O49" s="169">
        <v>8</v>
      </c>
      <c r="P49" s="167"/>
      <c r="Q49" s="167"/>
      <c r="R49" s="168"/>
      <c r="S49" s="166">
        <v>0</v>
      </c>
      <c r="T49" s="167"/>
      <c r="U49" s="167"/>
      <c r="V49" s="168"/>
      <c r="W49" s="153">
        <f t="shared" si="3"/>
        <v>36</v>
      </c>
      <c r="X49" s="154"/>
      <c r="Y49" s="154"/>
      <c r="Z49" s="155"/>
      <c r="AA49" s="205" t="s">
        <v>56</v>
      </c>
      <c r="AB49" s="126"/>
      <c r="AC49" s="126"/>
      <c r="AD49" s="126"/>
      <c r="AE49" s="126"/>
      <c r="AF49" s="126"/>
      <c r="AG49" s="134">
        <f>W56+AG48</f>
        <v>0</v>
      </c>
      <c r="AH49" s="134"/>
      <c r="AI49" s="135"/>
      <c r="AJ49" s="225">
        <f>IF(AJ48&gt;G49,0,G49-AJ48)</f>
        <v>0</v>
      </c>
      <c r="AK49" s="226"/>
      <c r="AL49" s="225">
        <f>IF(AL48&gt;K49,0,K49-AL48)</f>
        <v>0</v>
      </c>
      <c r="AM49" s="226"/>
      <c r="AN49" s="225">
        <f>IF(AN48&gt;O49,0,O49-AN48)</f>
        <v>0</v>
      </c>
      <c r="AO49" s="226"/>
      <c r="AP49" s="225">
        <f>IF(AP48&gt;S49,0,S49-AP48)</f>
        <v>0</v>
      </c>
      <c r="AQ49" s="226"/>
    </row>
    <row r="50" spans="1:35" ht="13.5" thickBot="1">
      <c r="A50" s="187"/>
      <c r="B50" s="125" t="s">
        <v>58</v>
      </c>
      <c r="C50" s="126"/>
      <c r="D50" s="126"/>
      <c r="E50" s="126"/>
      <c r="F50" s="161"/>
      <c r="G50" s="156">
        <f>IF(G48&lt;G49,G49,G48)</f>
        <v>22.2</v>
      </c>
      <c r="H50" s="157"/>
      <c r="I50" s="157"/>
      <c r="J50" s="158"/>
      <c r="K50" s="160">
        <f>IF(K48&lt;K49,K49,K48)</f>
        <v>22</v>
      </c>
      <c r="L50" s="157"/>
      <c r="M50" s="157"/>
      <c r="N50" s="158"/>
      <c r="O50" s="156">
        <f>IF(O48&lt;O49,O49,O48)</f>
        <v>17.799999999999997</v>
      </c>
      <c r="P50" s="157"/>
      <c r="Q50" s="157"/>
      <c r="R50" s="158"/>
      <c r="S50" s="160">
        <f>IF(S48&lt;S49,S49,S48)</f>
        <v>15</v>
      </c>
      <c r="T50" s="157"/>
      <c r="U50" s="157"/>
      <c r="V50" s="158"/>
      <c r="W50" s="153">
        <f t="shared" si="3"/>
        <v>77</v>
      </c>
      <c r="X50" s="154"/>
      <c r="Y50" s="154"/>
      <c r="Z50" s="155"/>
      <c r="AA50" s="232" t="s">
        <v>57</v>
      </c>
      <c r="AB50" s="90"/>
      <c r="AC50" s="90"/>
      <c r="AD50" s="90"/>
      <c r="AE50" s="90"/>
      <c r="AF50" s="90"/>
      <c r="AG50" s="91">
        <f>-AG48+AG49-W57</f>
        <v>-48.842105263157926</v>
      </c>
      <c r="AH50" s="91"/>
      <c r="AI50" s="85"/>
    </row>
    <row r="51" spans="1:35" ht="13.5" thickBot="1">
      <c r="A51" s="187"/>
      <c r="B51" s="125" t="s">
        <v>41</v>
      </c>
      <c r="C51" s="126"/>
      <c r="D51" s="126"/>
      <c r="E51" s="126"/>
      <c r="F51" s="161"/>
      <c r="G51" s="156">
        <v>20</v>
      </c>
      <c r="H51" s="157"/>
      <c r="I51" s="157"/>
      <c r="J51" s="158"/>
      <c r="K51" s="160">
        <v>20</v>
      </c>
      <c r="L51" s="157"/>
      <c r="M51" s="157"/>
      <c r="N51" s="158"/>
      <c r="O51" s="156">
        <v>20</v>
      </c>
      <c r="P51" s="157"/>
      <c r="Q51" s="157"/>
      <c r="R51" s="158"/>
      <c r="S51" s="160">
        <v>20</v>
      </c>
      <c r="T51" s="157"/>
      <c r="U51" s="157"/>
      <c r="V51" s="158"/>
      <c r="W51" s="153">
        <f t="shared" si="3"/>
        <v>80</v>
      </c>
      <c r="X51" s="154"/>
      <c r="Y51" s="154"/>
      <c r="Z51" s="155"/>
      <c r="AA51" s="230" t="s">
        <v>59</v>
      </c>
      <c r="AB51" s="231"/>
      <c r="AC51" s="231"/>
      <c r="AD51" s="231"/>
      <c r="AE51" s="231"/>
      <c r="AF51" s="231"/>
      <c r="AG51" s="88">
        <f>AG48+AG50</f>
        <v>0</v>
      </c>
      <c r="AH51" s="89"/>
      <c r="AI51" s="84"/>
    </row>
    <row r="52" spans="1:35" ht="12.75">
      <c r="A52" s="187"/>
      <c r="B52" s="125" t="s">
        <v>42</v>
      </c>
      <c r="C52" s="126"/>
      <c r="D52" s="126"/>
      <c r="E52" s="126"/>
      <c r="F52" s="161"/>
      <c r="G52" s="169">
        <v>20</v>
      </c>
      <c r="H52" s="167"/>
      <c r="I52" s="167"/>
      <c r="J52" s="168"/>
      <c r="K52" s="166">
        <v>20</v>
      </c>
      <c r="L52" s="167"/>
      <c r="M52" s="167"/>
      <c r="N52" s="168"/>
      <c r="O52" s="169">
        <v>20</v>
      </c>
      <c r="P52" s="167"/>
      <c r="Q52" s="167"/>
      <c r="R52" s="168"/>
      <c r="S52" s="166">
        <v>20</v>
      </c>
      <c r="T52" s="167"/>
      <c r="U52" s="167"/>
      <c r="V52" s="168"/>
      <c r="W52" s="153">
        <f t="shared" si="3"/>
        <v>80</v>
      </c>
      <c r="X52" s="154"/>
      <c r="Y52" s="154"/>
      <c r="Z52" s="155"/>
      <c r="AA52" s="228" t="s">
        <v>279</v>
      </c>
      <c r="AB52" s="229"/>
      <c r="AC52" s="229"/>
      <c r="AD52" s="229"/>
      <c r="AE52" s="229"/>
      <c r="AF52" s="229"/>
      <c r="AG52" s="95">
        <v>4</v>
      </c>
      <c r="AH52" s="95"/>
      <c r="AI52" s="95"/>
    </row>
    <row r="53" spans="1:35" ht="12.75">
      <c r="A53" s="187"/>
      <c r="B53" s="125" t="s">
        <v>43</v>
      </c>
      <c r="C53" s="126"/>
      <c r="D53" s="126"/>
      <c r="E53" s="126"/>
      <c r="F53" s="161"/>
      <c r="G53" s="165">
        <f>G51-G52</f>
        <v>0</v>
      </c>
      <c r="H53" s="163"/>
      <c r="I53" s="163"/>
      <c r="J53" s="164"/>
      <c r="K53" s="162">
        <f>K51-K52</f>
        <v>0</v>
      </c>
      <c r="L53" s="163"/>
      <c r="M53" s="163"/>
      <c r="N53" s="164"/>
      <c r="O53" s="165">
        <f>O51-O52</f>
        <v>0</v>
      </c>
      <c r="P53" s="163"/>
      <c r="Q53" s="163"/>
      <c r="R53" s="164"/>
      <c r="S53" s="162">
        <v>0</v>
      </c>
      <c r="T53" s="163"/>
      <c r="U53" s="163"/>
      <c r="V53" s="164"/>
      <c r="W53" s="153">
        <f t="shared" si="3"/>
        <v>0</v>
      </c>
      <c r="X53" s="154"/>
      <c r="Y53" s="154"/>
      <c r="Z53" s="155"/>
      <c r="AA53" s="132">
        <f>W47*$L$2/100-AI58</f>
        <v>108.1578947368421</v>
      </c>
      <c r="AB53" s="233"/>
      <c r="AC53" s="233"/>
      <c r="AD53" s="233"/>
      <c r="AE53" s="233"/>
      <c r="AF53" s="233"/>
      <c r="AG53" s="233"/>
      <c r="AH53" s="233"/>
      <c r="AI53" s="233"/>
    </row>
    <row r="54" spans="1:38" ht="12.75">
      <c r="A54" s="187"/>
      <c r="B54" s="125" t="s">
        <v>30</v>
      </c>
      <c r="C54" s="126"/>
      <c r="D54" s="126"/>
      <c r="E54" s="126"/>
      <c r="F54" s="161"/>
      <c r="G54" s="156">
        <f>G47*$L$2/100-AA58</f>
        <v>28.842105263157897</v>
      </c>
      <c r="H54" s="157"/>
      <c r="I54" s="157"/>
      <c r="J54" s="158"/>
      <c r="K54" s="156">
        <f>K47*$L$2/100-AC58</f>
        <v>36.05263157894737</v>
      </c>
      <c r="L54" s="157"/>
      <c r="M54" s="157"/>
      <c r="N54" s="158"/>
      <c r="O54" s="156">
        <f>O47*$L$2/100-AE58</f>
        <v>25.236842105263158</v>
      </c>
      <c r="P54" s="157"/>
      <c r="Q54" s="157"/>
      <c r="R54" s="158"/>
      <c r="S54" s="156">
        <f>S47*$L$2/100-AG58</f>
        <v>18.026315789473685</v>
      </c>
      <c r="T54" s="157"/>
      <c r="U54" s="157"/>
      <c r="V54" s="158"/>
      <c r="W54" s="153">
        <f t="shared" si="3"/>
        <v>108.1578947368421</v>
      </c>
      <c r="X54" s="154"/>
      <c r="Y54" s="154"/>
      <c r="Z54" s="155"/>
      <c r="AA54" s="101">
        <f>IF(G47&lt;G46,$T$5*(G47-G46)*$L$3/100,$T$5*G47/100)</f>
        <v>0.8</v>
      </c>
      <c r="AB54" s="101"/>
      <c r="AC54" s="101">
        <f>IF(K47&lt;K46,$T$5*(K47-K46)*$L$3/100,$T$5*K47/100)</f>
        <v>1</v>
      </c>
      <c r="AD54" s="101"/>
      <c r="AE54" s="101">
        <f>IF(O47&lt;O46,$T$5*(O47-O46)*$L$3/100,$T$5*O47/100)</f>
        <v>0.7</v>
      </c>
      <c r="AF54" s="101"/>
      <c r="AG54" s="101">
        <f>IF(S47&lt;S46,$T$5*(S47-S46)*$L$3/100,$T$5*S47/100)</f>
        <v>0.5</v>
      </c>
      <c r="AH54" s="101"/>
      <c r="AI54" s="97">
        <f>SUM(AA54:AH54)</f>
        <v>3</v>
      </c>
      <c r="AJ54" s="98"/>
      <c r="AK54" s="98"/>
      <c r="AL54" s="2" t="s">
        <v>277</v>
      </c>
    </row>
    <row r="55" spans="1:38" ht="12.75">
      <c r="A55" s="187"/>
      <c r="B55" s="125" t="s">
        <v>283</v>
      </c>
      <c r="C55" s="126"/>
      <c r="D55" s="126"/>
      <c r="E55" s="126"/>
      <c r="F55" s="161"/>
      <c r="G55" s="156">
        <f>G54-G51-G50+$AI57</f>
        <v>-13.357894736842102</v>
      </c>
      <c r="H55" s="157"/>
      <c r="I55" s="157"/>
      <c r="J55" s="158"/>
      <c r="K55" s="156">
        <f>K54-K51-K50+$AI57</f>
        <v>-5.94736842105263</v>
      </c>
      <c r="L55" s="157"/>
      <c r="M55" s="157"/>
      <c r="N55" s="158"/>
      <c r="O55" s="156">
        <f>O54-O51-O50+$AI57</f>
        <v>-12.56315789473684</v>
      </c>
      <c r="P55" s="157"/>
      <c r="Q55" s="157"/>
      <c r="R55" s="158"/>
      <c r="S55" s="156">
        <f>S54-S51-S50+$AI57</f>
        <v>-16.973684210526315</v>
      </c>
      <c r="T55" s="157"/>
      <c r="U55" s="157"/>
      <c r="V55" s="158"/>
      <c r="W55" s="153">
        <f t="shared" si="3"/>
        <v>-48.84210526315789</v>
      </c>
      <c r="X55" s="154"/>
      <c r="Y55" s="154"/>
      <c r="Z55" s="159"/>
      <c r="AA55" s="101">
        <f>IF(G47&lt;G46,0,$T$3*G47/100)</f>
        <v>0</v>
      </c>
      <c r="AB55" s="101"/>
      <c r="AC55" s="101">
        <f>IF(K47&lt;K46,0,$T$3*K47/100)</f>
        <v>0</v>
      </c>
      <c r="AD55" s="101"/>
      <c r="AE55" s="101">
        <f>IF(O47&lt;O46,0,$T$3*O47/100)</f>
        <v>0</v>
      </c>
      <c r="AF55" s="101"/>
      <c r="AG55" s="101">
        <f>IF(S47&lt;S46,0,$T$3*S47/100)</f>
        <v>0</v>
      </c>
      <c r="AH55" s="101"/>
      <c r="AI55" s="97">
        <f>SUM(AA55:AH55)</f>
        <v>0</v>
      </c>
      <c r="AJ55" s="98"/>
      <c r="AK55" s="98"/>
      <c r="AL55" s="2" t="s">
        <v>248</v>
      </c>
    </row>
    <row r="56" spans="1:38" ht="12.75" customHeight="1">
      <c r="A56" s="187"/>
      <c r="B56" s="125" t="s">
        <v>45</v>
      </c>
      <c r="C56" s="126"/>
      <c r="D56" s="126"/>
      <c r="E56" s="126"/>
      <c r="F56" s="161"/>
      <c r="G56" s="156">
        <f>G55+G53</f>
        <v>-13.357894736842102</v>
      </c>
      <c r="H56" s="157"/>
      <c r="I56" s="157"/>
      <c r="J56" s="158"/>
      <c r="K56" s="160">
        <f>K55+K53</f>
        <v>-5.94736842105263</v>
      </c>
      <c r="L56" s="157"/>
      <c r="M56" s="157"/>
      <c r="N56" s="158"/>
      <c r="O56" s="156">
        <f>O55+O53</f>
        <v>-12.56315789473684</v>
      </c>
      <c r="P56" s="157"/>
      <c r="Q56" s="157"/>
      <c r="R56" s="158"/>
      <c r="S56" s="160">
        <f>S55+S53</f>
        <v>-16.973684210526315</v>
      </c>
      <c r="T56" s="157"/>
      <c r="U56" s="157"/>
      <c r="V56" s="158"/>
      <c r="W56" s="153">
        <f t="shared" si="3"/>
        <v>-48.84210526315789</v>
      </c>
      <c r="X56" s="154"/>
      <c r="Y56" s="154"/>
      <c r="Z56" s="155"/>
      <c r="AA56" s="101">
        <f>IF(G47&lt;G46,0,$T$4*G47/100)</f>
        <v>0</v>
      </c>
      <c r="AB56" s="101"/>
      <c r="AC56" s="101">
        <f>IF(K47&lt;K46,0,$T$4*K47/100)</f>
        <v>0</v>
      </c>
      <c r="AD56" s="101"/>
      <c r="AE56" s="101">
        <f>IF(O47&lt;O46,0,$T$4*O47/100)</f>
        <v>0</v>
      </c>
      <c r="AF56" s="101"/>
      <c r="AG56" s="101">
        <f>IF(S47&lt;S46,0,$T$4*S47/100)</f>
        <v>0</v>
      </c>
      <c r="AH56" s="101"/>
      <c r="AI56" s="97">
        <f>SUM(AA56:AH56)</f>
        <v>0</v>
      </c>
      <c r="AJ56" s="98"/>
      <c r="AK56" s="98"/>
      <c r="AL56" s="2" t="s">
        <v>281</v>
      </c>
    </row>
    <row r="57" spans="1:38" ht="12.75">
      <c r="A57" s="187"/>
      <c r="B57" s="194" t="s">
        <v>26</v>
      </c>
      <c r="C57" s="98"/>
      <c r="D57" s="98"/>
      <c r="E57" s="98"/>
      <c r="F57" s="195"/>
      <c r="G57" s="196">
        <f>$AG49/100*$AL$3</f>
        <v>0</v>
      </c>
      <c r="H57" s="197"/>
      <c r="I57" s="197"/>
      <c r="J57" s="198"/>
      <c r="K57" s="137">
        <f>$AG49/100*$AL$4</f>
        <v>0</v>
      </c>
      <c r="L57" s="138"/>
      <c r="M57" s="138"/>
      <c r="N57" s="139"/>
      <c r="O57" s="137">
        <f>$AG49/100*$AL$4</f>
        <v>0</v>
      </c>
      <c r="P57" s="138"/>
      <c r="Q57" s="138"/>
      <c r="R57" s="139"/>
      <c r="S57" s="137">
        <v>0</v>
      </c>
      <c r="T57" s="138"/>
      <c r="U57" s="138"/>
      <c r="V57" s="139"/>
      <c r="W57" s="153">
        <f t="shared" si="3"/>
        <v>0</v>
      </c>
      <c r="X57" s="154"/>
      <c r="Y57" s="154"/>
      <c r="Z57" s="155"/>
      <c r="AI57" s="224">
        <f>'ЦФУ Продажи'!P$59</f>
        <v>0</v>
      </c>
      <c r="AJ57" s="224"/>
      <c r="AK57" s="224"/>
      <c r="AL57" s="2" t="s">
        <v>280</v>
      </c>
    </row>
    <row r="58" spans="1:38" ht="13.5" thickBot="1">
      <c r="A58" s="187"/>
      <c r="B58" s="191" t="s">
        <v>28</v>
      </c>
      <c r="C58" s="192"/>
      <c r="D58" s="192"/>
      <c r="E58" s="192"/>
      <c r="F58" s="193"/>
      <c r="G58" s="149">
        <f>IF(G57&lt;0,G50,G50+G57)</f>
        <v>22.2</v>
      </c>
      <c r="H58" s="147"/>
      <c r="I58" s="147"/>
      <c r="J58" s="148"/>
      <c r="K58" s="146">
        <f>IF(K57&lt;0,K50,K50+K57)</f>
        <v>22</v>
      </c>
      <c r="L58" s="147"/>
      <c r="M58" s="147"/>
      <c r="N58" s="148"/>
      <c r="O58" s="149">
        <f>IF(O57&lt;0,O50,O50+O57)</f>
        <v>17.799999999999997</v>
      </c>
      <c r="P58" s="147"/>
      <c r="Q58" s="147"/>
      <c r="R58" s="148"/>
      <c r="S58" s="146">
        <f>IF(S57&lt;0,S50,S50+S57)</f>
        <v>15</v>
      </c>
      <c r="T58" s="147"/>
      <c r="U58" s="147"/>
      <c r="V58" s="148"/>
      <c r="W58" s="150">
        <f t="shared" si="3"/>
        <v>77</v>
      </c>
      <c r="X58" s="151"/>
      <c r="Y58" s="151"/>
      <c r="Z58" s="152"/>
      <c r="AA58" s="101">
        <f>IF($AI54&gt;0,IF(AA54&gt;=0,0,G47*($T$2+$T$3+$T$5)/100-AA54),IF(G47&lt;G46,G47*($T$2+$T$3+$T$5)/100,AA54))</f>
        <v>0</v>
      </c>
      <c r="AB58" s="101"/>
      <c r="AC58" s="101">
        <f>IF($AI54&gt;=0,IF(AC54&gt;=0,0,K47*($T$2+$T$3+$T$4+$T$5)/100-AC54),IF(AC54&lt;0,K47*($T$2+$T$3+$T$4+$T$5)/100,AC54))</f>
        <v>0</v>
      </c>
      <c r="AD58" s="101"/>
      <c r="AE58" s="101">
        <f>IF($AI54&gt;=0,IF(AE54&gt;=0,0,O47*($T$2+$T$3+$T$4+$T$5)/100-AE54),IF(AE54&lt;0,O47*($T$2+$T$3+$T$4+$T$5)/100,AE54))</f>
        <v>0</v>
      </c>
      <c r="AF58" s="101"/>
      <c r="AG58" s="101">
        <f>IF($AI54&gt;=0,IF(AG54&gt;=0,0,S47*($T$2+$T$3+$T$4+$T$5)/100-AG54),IF(AG54&lt;0,S47*($T$2+$T$3+$T$4+$T$5)/100,AG54))</f>
        <v>0</v>
      </c>
      <c r="AH58" s="101"/>
      <c r="AI58" s="97">
        <f>SUM(AA58:AH58)</f>
        <v>0</v>
      </c>
      <c r="AJ58" s="98"/>
      <c r="AK58" s="98"/>
      <c r="AL58" s="2" t="s">
        <v>218</v>
      </c>
    </row>
    <row r="59" spans="1:35" ht="12.75" customHeight="1">
      <c r="A59" s="188" t="s">
        <v>65</v>
      </c>
      <c r="B59" s="93" t="s">
        <v>23</v>
      </c>
      <c r="C59" s="94"/>
      <c r="D59" s="94"/>
      <c r="E59" s="94"/>
      <c r="F59" s="199"/>
      <c r="G59" s="185">
        <v>1120</v>
      </c>
      <c r="H59" s="183"/>
      <c r="I59" s="183"/>
      <c r="J59" s="184"/>
      <c r="K59" s="182">
        <v>1200</v>
      </c>
      <c r="L59" s="183"/>
      <c r="M59" s="183"/>
      <c r="N59" s="184"/>
      <c r="O59" s="185">
        <v>1000</v>
      </c>
      <c r="P59" s="183"/>
      <c r="Q59" s="183"/>
      <c r="R59" s="184"/>
      <c r="S59" s="182">
        <v>700</v>
      </c>
      <c r="T59" s="183"/>
      <c r="U59" s="183"/>
      <c r="V59" s="184"/>
      <c r="W59" s="170">
        <f t="shared" si="3"/>
        <v>4020</v>
      </c>
      <c r="X59" s="171"/>
      <c r="Y59" s="171"/>
      <c r="Z59" s="172"/>
      <c r="AA59" s="234" t="s">
        <v>53</v>
      </c>
      <c r="AB59" s="235"/>
      <c r="AC59" s="235"/>
      <c r="AD59" s="235"/>
      <c r="AE59" s="235"/>
      <c r="AF59" s="236"/>
      <c r="AG59" s="173">
        <f>(W64+$N$2*AG65)/W59*100+$Q$2+$T$2+$T$3+$T$5</f>
        <v>4.286069651741293</v>
      </c>
      <c r="AH59" s="174"/>
      <c r="AI59" s="175"/>
    </row>
    <row r="60" spans="1:36" ht="12.75">
      <c r="A60" s="187"/>
      <c r="B60" s="125" t="s">
        <v>24</v>
      </c>
      <c r="C60" s="126"/>
      <c r="D60" s="126"/>
      <c r="E60" s="126"/>
      <c r="F60" s="161"/>
      <c r="G60" s="169">
        <v>1120</v>
      </c>
      <c r="H60" s="167"/>
      <c r="I60" s="167"/>
      <c r="J60" s="168"/>
      <c r="K60" s="166">
        <v>1200</v>
      </c>
      <c r="L60" s="167"/>
      <c r="M60" s="167"/>
      <c r="N60" s="168"/>
      <c r="O60" s="169">
        <v>1000</v>
      </c>
      <c r="P60" s="167"/>
      <c r="Q60" s="167"/>
      <c r="R60" s="168"/>
      <c r="S60" s="166">
        <v>700</v>
      </c>
      <c r="T60" s="167"/>
      <c r="U60" s="167"/>
      <c r="V60" s="168"/>
      <c r="W60" s="153">
        <f t="shared" si="3"/>
        <v>4020</v>
      </c>
      <c r="X60" s="154"/>
      <c r="Y60" s="154"/>
      <c r="Z60" s="155"/>
      <c r="AA60" s="237" t="s">
        <v>54</v>
      </c>
      <c r="AB60" s="204"/>
      <c r="AC60" s="204"/>
      <c r="AD60" s="204"/>
      <c r="AE60" s="204"/>
      <c r="AF60" s="205"/>
      <c r="AG60" s="180">
        <f>(AG59-$L$2)*W59/100</f>
        <v>27.368421052631575</v>
      </c>
      <c r="AH60" s="180"/>
      <c r="AI60" s="181"/>
      <c r="AJ60" s="2" t="s">
        <v>284</v>
      </c>
    </row>
    <row r="61" spans="1:43" ht="12.75">
      <c r="A61" s="187"/>
      <c r="B61" s="125" t="s">
        <v>29</v>
      </c>
      <c r="C61" s="126"/>
      <c r="D61" s="126"/>
      <c r="E61" s="126"/>
      <c r="F61" s="161"/>
      <c r="G61" s="156">
        <f>IF(G59&lt;=G60,$N$2+G60/100*($Q$2+$T$2)+$AI68/$AG65+$AI70+IF(AI67&gt;0,AI67,0),$N$2+G60/100*$Q$2+$AI68/$AG65+$AI70+IF(AI67&gt;0,AI67,0))</f>
        <v>27.7</v>
      </c>
      <c r="H61" s="157"/>
      <c r="I61" s="157"/>
      <c r="J61" s="158"/>
      <c r="K61" s="156">
        <f>IF(K59&lt;=K60,$N$2+K60/100*($Q$2+$T$2)+$AI68/$AG65+$AI70,$N$2+K60/100*$Q$2+$AI68/$AG65+$AI70)</f>
        <v>24.799999999999997</v>
      </c>
      <c r="L61" s="157"/>
      <c r="M61" s="157"/>
      <c r="N61" s="158"/>
      <c r="O61" s="156">
        <f>IF(O59&lt;=O60,$N$2+O60/100*($Q$2+$T$2)+$AI68/$AG65+$AI70,$N$2+O60/100*$Q$2+$AI68/$AG65+$AI70)</f>
        <v>22</v>
      </c>
      <c r="P61" s="157"/>
      <c r="Q61" s="157"/>
      <c r="R61" s="158"/>
      <c r="S61" s="156">
        <f>IF(S59&lt;=S60,$N$2+S60/100*($Q$2+$T$2)+$AI68/$AG65+$AI70,$N$2+S60/100*$Q$2+$AI68/$AG65+$AI70)</f>
        <v>17.799999999999997</v>
      </c>
      <c r="T61" s="157"/>
      <c r="U61" s="157"/>
      <c r="V61" s="158"/>
      <c r="W61" s="153">
        <f t="shared" si="3"/>
        <v>92.3</v>
      </c>
      <c r="X61" s="154"/>
      <c r="Y61" s="154"/>
      <c r="Z61" s="155"/>
      <c r="AA61" s="205" t="s">
        <v>55</v>
      </c>
      <c r="AB61" s="126"/>
      <c r="AC61" s="126"/>
      <c r="AD61" s="126"/>
      <c r="AE61" s="126"/>
      <c r="AF61" s="126"/>
      <c r="AG61" s="122">
        <f>SUM(AJ62:AQ62)+AG60</f>
        <v>27.368421052631575</v>
      </c>
      <c r="AH61" s="123"/>
      <c r="AI61" s="124"/>
      <c r="AJ61" s="225">
        <f>$N$2+G59*($Q$2+$T$2+$T$3/$AG65)/100+$T$5*$W59/100</f>
        <v>27.7</v>
      </c>
      <c r="AK61" s="226"/>
      <c r="AL61" s="225">
        <f>$N$2+K59*($Q$2+$T$2+$T$3/$AG65)/100</f>
        <v>24.8</v>
      </c>
      <c r="AM61" s="226"/>
      <c r="AN61" s="225">
        <f>$N$2+O59*($Q$2+$T$2+$T$3/$AG65)/100</f>
        <v>22</v>
      </c>
      <c r="AO61" s="226"/>
      <c r="AP61" s="225">
        <f>$N$2+S59*($Q$2+$T$2+$T$3/$AG65)/100</f>
        <v>17.799999999999997</v>
      </c>
      <c r="AQ61" s="226"/>
    </row>
    <row r="62" spans="1:43" ht="12.75">
      <c r="A62" s="187"/>
      <c r="B62" s="125" t="s">
        <v>10</v>
      </c>
      <c r="C62" s="126"/>
      <c r="D62" s="126"/>
      <c r="E62" s="126"/>
      <c r="F62" s="161"/>
      <c r="G62" s="169">
        <v>20</v>
      </c>
      <c r="H62" s="167"/>
      <c r="I62" s="167"/>
      <c r="J62" s="168"/>
      <c r="K62" s="166">
        <v>8</v>
      </c>
      <c r="L62" s="167"/>
      <c r="M62" s="167"/>
      <c r="N62" s="168"/>
      <c r="O62" s="169">
        <v>8</v>
      </c>
      <c r="P62" s="167"/>
      <c r="Q62" s="167"/>
      <c r="R62" s="168"/>
      <c r="S62" s="166">
        <v>0</v>
      </c>
      <c r="T62" s="167"/>
      <c r="U62" s="167"/>
      <c r="V62" s="168"/>
      <c r="W62" s="153">
        <f t="shared" si="3"/>
        <v>36</v>
      </c>
      <c r="X62" s="154"/>
      <c r="Y62" s="154"/>
      <c r="Z62" s="155"/>
      <c r="AA62" s="205" t="s">
        <v>56</v>
      </c>
      <c r="AB62" s="126"/>
      <c r="AC62" s="126"/>
      <c r="AD62" s="126"/>
      <c r="AE62" s="126"/>
      <c r="AF62" s="126"/>
      <c r="AG62" s="134">
        <f>W69+AG61</f>
        <v>0</v>
      </c>
      <c r="AH62" s="134"/>
      <c r="AI62" s="135"/>
      <c r="AJ62" s="225">
        <f>IF(AJ61&gt;G62,0,G62-AJ61)</f>
        <v>0</v>
      </c>
      <c r="AK62" s="226"/>
      <c r="AL62" s="225">
        <f>IF(AL61&gt;K62,0,K62-AL61)</f>
        <v>0</v>
      </c>
      <c r="AM62" s="226"/>
      <c r="AN62" s="225">
        <f>IF(AN61&gt;O62,0,O62-AN61)</f>
        <v>0</v>
      </c>
      <c r="AO62" s="226"/>
      <c r="AP62" s="225">
        <f>IF(AP61&gt;S62,0,S62-AP61)</f>
        <v>0</v>
      </c>
      <c r="AQ62" s="226"/>
    </row>
    <row r="63" spans="1:35" ht="13.5" thickBot="1">
      <c r="A63" s="187"/>
      <c r="B63" s="125" t="s">
        <v>58</v>
      </c>
      <c r="C63" s="126"/>
      <c r="D63" s="126"/>
      <c r="E63" s="126"/>
      <c r="F63" s="161"/>
      <c r="G63" s="156">
        <f>IF(G61&lt;G62,G62,G61)</f>
        <v>27.7</v>
      </c>
      <c r="H63" s="157"/>
      <c r="I63" s="157"/>
      <c r="J63" s="158"/>
      <c r="K63" s="160">
        <f>IF(K61&lt;K62,K62,K61)</f>
        <v>24.799999999999997</v>
      </c>
      <c r="L63" s="157"/>
      <c r="M63" s="157"/>
      <c r="N63" s="158"/>
      <c r="O63" s="156">
        <f>IF(O61&lt;O62,O62,O61)</f>
        <v>22</v>
      </c>
      <c r="P63" s="157"/>
      <c r="Q63" s="157"/>
      <c r="R63" s="158"/>
      <c r="S63" s="160">
        <f>IF(S61&lt;S62,S62,S61)</f>
        <v>17.799999999999997</v>
      </c>
      <c r="T63" s="157"/>
      <c r="U63" s="157"/>
      <c r="V63" s="158"/>
      <c r="W63" s="153">
        <f t="shared" si="3"/>
        <v>92.3</v>
      </c>
      <c r="X63" s="154"/>
      <c r="Y63" s="154"/>
      <c r="Z63" s="155"/>
      <c r="AA63" s="232" t="s">
        <v>57</v>
      </c>
      <c r="AB63" s="90"/>
      <c r="AC63" s="90"/>
      <c r="AD63" s="90"/>
      <c r="AE63" s="90"/>
      <c r="AF63" s="90"/>
      <c r="AG63" s="91">
        <f>-AG61+AG62-W70</f>
        <v>-27.368421052631575</v>
      </c>
      <c r="AH63" s="91"/>
      <c r="AI63" s="85"/>
    </row>
    <row r="64" spans="1:35" ht="13.5" thickBot="1">
      <c r="A64" s="187"/>
      <c r="B64" s="125" t="s">
        <v>41</v>
      </c>
      <c r="C64" s="126"/>
      <c r="D64" s="126"/>
      <c r="E64" s="126"/>
      <c r="F64" s="161"/>
      <c r="G64" s="156">
        <v>20</v>
      </c>
      <c r="H64" s="157"/>
      <c r="I64" s="157"/>
      <c r="J64" s="158"/>
      <c r="K64" s="160">
        <v>20</v>
      </c>
      <c r="L64" s="157"/>
      <c r="M64" s="157"/>
      <c r="N64" s="158"/>
      <c r="O64" s="156">
        <v>20</v>
      </c>
      <c r="P64" s="157"/>
      <c r="Q64" s="157"/>
      <c r="R64" s="158"/>
      <c r="S64" s="160">
        <v>20</v>
      </c>
      <c r="T64" s="157"/>
      <c r="U64" s="157"/>
      <c r="V64" s="158"/>
      <c r="W64" s="153">
        <f t="shared" si="3"/>
        <v>80</v>
      </c>
      <c r="X64" s="154"/>
      <c r="Y64" s="154"/>
      <c r="Z64" s="155"/>
      <c r="AA64" s="230" t="s">
        <v>59</v>
      </c>
      <c r="AB64" s="231"/>
      <c r="AC64" s="231"/>
      <c r="AD64" s="231"/>
      <c r="AE64" s="231"/>
      <c r="AF64" s="231"/>
      <c r="AG64" s="88">
        <f>AG61+AG63</f>
        <v>0</v>
      </c>
      <c r="AH64" s="89"/>
      <c r="AI64" s="84"/>
    </row>
    <row r="65" spans="1:35" ht="12.75">
      <c r="A65" s="187"/>
      <c r="B65" s="125" t="s">
        <v>42</v>
      </c>
      <c r="C65" s="126"/>
      <c r="D65" s="126"/>
      <c r="E65" s="126"/>
      <c r="F65" s="161"/>
      <c r="G65" s="169">
        <v>20</v>
      </c>
      <c r="H65" s="167"/>
      <c r="I65" s="167"/>
      <c r="J65" s="168"/>
      <c r="K65" s="166">
        <v>20</v>
      </c>
      <c r="L65" s="167"/>
      <c r="M65" s="167"/>
      <c r="N65" s="168"/>
      <c r="O65" s="169">
        <v>20</v>
      </c>
      <c r="P65" s="167"/>
      <c r="Q65" s="167"/>
      <c r="R65" s="168"/>
      <c r="S65" s="166">
        <v>20</v>
      </c>
      <c r="T65" s="167"/>
      <c r="U65" s="167"/>
      <c r="V65" s="168"/>
      <c r="W65" s="153">
        <f t="shared" si="3"/>
        <v>80</v>
      </c>
      <c r="X65" s="154"/>
      <c r="Y65" s="154"/>
      <c r="Z65" s="155"/>
      <c r="AA65" s="228" t="s">
        <v>279</v>
      </c>
      <c r="AB65" s="229"/>
      <c r="AC65" s="229"/>
      <c r="AD65" s="229"/>
      <c r="AE65" s="229"/>
      <c r="AF65" s="229"/>
      <c r="AG65" s="95">
        <v>4</v>
      </c>
      <c r="AH65" s="95"/>
      <c r="AI65" s="95"/>
    </row>
    <row r="66" spans="1:35" ht="12.75">
      <c r="A66" s="187"/>
      <c r="B66" s="125" t="s">
        <v>43</v>
      </c>
      <c r="C66" s="126"/>
      <c r="D66" s="126"/>
      <c r="E66" s="126"/>
      <c r="F66" s="161"/>
      <c r="G66" s="165">
        <f>G64-G65</f>
        <v>0</v>
      </c>
      <c r="H66" s="163"/>
      <c r="I66" s="163"/>
      <c r="J66" s="164"/>
      <c r="K66" s="162">
        <f>K64-K65</f>
        <v>0</v>
      </c>
      <c r="L66" s="163"/>
      <c r="M66" s="163"/>
      <c r="N66" s="164"/>
      <c r="O66" s="165">
        <f>O64-O65</f>
        <v>0</v>
      </c>
      <c r="P66" s="163"/>
      <c r="Q66" s="163"/>
      <c r="R66" s="164"/>
      <c r="S66" s="162">
        <v>0</v>
      </c>
      <c r="T66" s="163"/>
      <c r="U66" s="163"/>
      <c r="V66" s="164"/>
      <c r="W66" s="153">
        <f t="shared" si="3"/>
        <v>0</v>
      </c>
      <c r="X66" s="154"/>
      <c r="Y66" s="154"/>
      <c r="Z66" s="155"/>
      <c r="AA66" s="132">
        <f>W60*$L$2/100-AI71</f>
        <v>144.93157894736842</v>
      </c>
      <c r="AB66" s="233"/>
      <c r="AC66" s="233"/>
      <c r="AD66" s="233"/>
      <c r="AE66" s="233"/>
      <c r="AF66" s="233"/>
      <c r="AG66" s="233"/>
      <c r="AH66" s="233"/>
      <c r="AI66" s="233"/>
    </row>
    <row r="67" spans="1:38" ht="12.75">
      <c r="A67" s="187"/>
      <c r="B67" s="125" t="s">
        <v>30</v>
      </c>
      <c r="C67" s="126"/>
      <c r="D67" s="126"/>
      <c r="E67" s="126"/>
      <c r="F67" s="161"/>
      <c r="G67" s="156">
        <f>G60*$L$2/100-AA71</f>
        <v>40.37894736842105</v>
      </c>
      <c r="H67" s="157"/>
      <c r="I67" s="157"/>
      <c r="J67" s="158"/>
      <c r="K67" s="156">
        <f>K60*$L$2/100-AC71</f>
        <v>43.26315789473684</v>
      </c>
      <c r="L67" s="157"/>
      <c r="M67" s="157"/>
      <c r="N67" s="158"/>
      <c r="O67" s="156">
        <f>O60*$L$2/100-AE71</f>
        <v>36.05263157894737</v>
      </c>
      <c r="P67" s="157"/>
      <c r="Q67" s="157"/>
      <c r="R67" s="158"/>
      <c r="S67" s="156">
        <f>S60*$L$2/100-AG71</f>
        <v>25.236842105263158</v>
      </c>
      <c r="T67" s="157"/>
      <c r="U67" s="157"/>
      <c r="V67" s="158"/>
      <c r="W67" s="153">
        <f t="shared" si="3"/>
        <v>144.93157894736842</v>
      </c>
      <c r="X67" s="154"/>
      <c r="Y67" s="154"/>
      <c r="Z67" s="155"/>
      <c r="AA67" s="101">
        <f>IF(G60&lt;G59,$T$5*(G60-G59)*$L$3/100,$T$5*G60/100)</f>
        <v>1.12</v>
      </c>
      <c r="AB67" s="101"/>
      <c r="AC67" s="101">
        <f>IF(K60&lt;K59,$T$5*(K60-K59)*$L$3/100,$T$5*K60/100)</f>
        <v>1.2</v>
      </c>
      <c r="AD67" s="101"/>
      <c r="AE67" s="101">
        <f>IF(O60&lt;O59,$T$5*(O60-O59)*$L$3/100,$T$5*O60/100)</f>
        <v>1</v>
      </c>
      <c r="AF67" s="101"/>
      <c r="AG67" s="101">
        <f>IF(S60&lt;S59,$T$5*(S60-S59)*$L$3/100,$T$5*S60/100)</f>
        <v>0.7</v>
      </c>
      <c r="AH67" s="101"/>
      <c r="AI67" s="97">
        <f>SUM(AA67:AH67)</f>
        <v>4.0200000000000005</v>
      </c>
      <c r="AJ67" s="98"/>
      <c r="AK67" s="98"/>
      <c r="AL67" s="2" t="s">
        <v>277</v>
      </c>
    </row>
    <row r="68" spans="1:38" ht="12.75">
      <c r="A68" s="187"/>
      <c r="B68" s="125" t="s">
        <v>283</v>
      </c>
      <c r="C68" s="126"/>
      <c r="D68" s="126"/>
      <c r="E68" s="126"/>
      <c r="F68" s="161"/>
      <c r="G68" s="156">
        <f>G67-G64-G63+$AI70</f>
        <v>-7.321052631578947</v>
      </c>
      <c r="H68" s="157"/>
      <c r="I68" s="157"/>
      <c r="J68" s="158"/>
      <c r="K68" s="156">
        <f>K67-K64-K63+$AI70</f>
        <v>-1.5368421052631547</v>
      </c>
      <c r="L68" s="157"/>
      <c r="M68" s="157"/>
      <c r="N68" s="158"/>
      <c r="O68" s="156">
        <f>O67-O64-O63+$AI70</f>
        <v>-5.94736842105263</v>
      </c>
      <c r="P68" s="157"/>
      <c r="Q68" s="157"/>
      <c r="R68" s="158"/>
      <c r="S68" s="156">
        <f>S67-S64-S63+$AI70</f>
        <v>-12.56315789473684</v>
      </c>
      <c r="T68" s="157"/>
      <c r="U68" s="157"/>
      <c r="V68" s="158"/>
      <c r="W68" s="153">
        <f t="shared" si="3"/>
        <v>-27.36842105263157</v>
      </c>
      <c r="X68" s="154"/>
      <c r="Y68" s="154"/>
      <c r="Z68" s="159"/>
      <c r="AA68" s="101">
        <f>IF(G60&lt;G59,0,$T$3*G60/100)</f>
        <v>0</v>
      </c>
      <c r="AB68" s="101"/>
      <c r="AC68" s="101">
        <f>IF(K60&lt;K59,0,$T$3*K60/100)</f>
        <v>0</v>
      </c>
      <c r="AD68" s="101"/>
      <c r="AE68" s="101">
        <f>IF(O60&lt;O59,0,$T$3*O60/100)</f>
        <v>0</v>
      </c>
      <c r="AF68" s="101"/>
      <c r="AG68" s="101">
        <f>IF(S60&lt;S59,0,$T$3*S60/100)</f>
        <v>0</v>
      </c>
      <c r="AH68" s="101"/>
      <c r="AI68" s="97">
        <f>SUM(AA68:AH68)</f>
        <v>0</v>
      </c>
      <c r="AJ68" s="98"/>
      <c r="AK68" s="98"/>
      <c r="AL68" s="2" t="s">
        <v>248</v>
      </c>
    </row>
    <row r="69" spans="1:38" ht="12.75">
      <c r="A69" s="187"/>
      <c r="B69" s="125" t="s">
        <v>45</v>
      </c>
      <c r="C69" s="126"/>
      <c r="D69" s="126"/>
      <c r="E69" s="126"/>
      <c r="F69" s="161"/>
      <c r="G69" s="156">
        <f>G68+G66</f>
        <v>-7.321052631578947</v>
      </c>
      <c r="H69" s="157"/>
      <c r="I69" s="157"/>
      <c r="J69" s="158"/>
      <c r="K69" s="160">
        <f>K68+K66</f>
        <v>-1.5368421052631547</v>
      </c>
      <c r="L69" s="157"/>
      <c r="M69" s="157"/>
      <c r="N69" s="158"/>
      <c r="O69" s="156">
        <f>O68+O66</f>
        <v>-5.94736842105263</v>
      </c>
      <c r="P69" s="157"/>
      <c r="Q69" s="157"/>
      <c r="R69" s="158"/>
      <c r="S69" s="160">
        <f>S68+S66</f>
        <v>-12.56315789473684</v>
      </c>
      <c r="T69" s="157"/>
      <c r="U69" s="157"/>
      <c r="V69" s="158"/>
      <c r="W69" s="153">
        <f t="shared" si="3"/>
        <v>-27.36842105263157</v>
      </c>
      <c r="X69" s="154"/>
      <c r="Y69" s="154"/>
      <c r="Z69" s="155"/>
      <c r="AA69" s="101">
        <f>IF(G60&lt;G59,0,$T$4*G60/100)</f>
        <v>0</v>
      </c>
      <c r="AB69" s="101"/>
      <c r="AC69" s="101">
        <f>IF(K60&lt;K59,0,$T$4*K60/100)</f>
        <v>0</v>
      </c>
      <c r="AD69" s="101"/>
      <c r="AE69" s="101">
        <f>IF(O60&lt;O59,0,$T$4*O60/100)</f>
        <v>0</v>
      </c>
      <c r="AF69" s="101"/>
      <c r="AG69" s="101">
        <f>IF(S60&lt;S59,0,$T$4*S60/100)</f>
        <v>0</v>
      </c>
      <c r="AH69" s="101"/>
      <c r="AI69" s="97">
        <f>SUM(AA69:AH69)</f>
        <v>0</v>
      </c>
      <c r="AJ69" s="98"/>
      <c r="AK69" s="98"/>
      <c r="AL69" s="2" t="s">
        <v>281</v>
      </c>
    </row>
    <row r="70" spans="1:38" ht="12.75">
      <c r="A70" s="187"/>
      <c r="B70" s="194" t="s">
        <v>26</v>
      </c>
      <c r="C70" s="98"/>
      <c r="D70" s="98"/>
      <c r="E70" s="98"/>
      <c r="F70" s="195"/>
      <c r="G70" s="196">
        <f>$AG62/100*$AL$3</f>
        <v>0</v>
      </c>
      <c r="H70" s="197"/>
      <c r="I70" s="197"/>
      <c r="J70" s="198"/>
      <c r="K70" s="137">
        <f>$AG62/100*$AL$4</f>
        <v>0</v>
      </c>
      <c r="L70" s="138"/>
      <c r="M70" s="138"/>
      <c r="N70" s="139"/>
      <c r="O70" s="137">
        <f>$AG62/100*$AL$4</f>
        <v>0</v>
      </c>
      <c r="P70" s="138"/>
      <c r="Q70" s="138"/>
      <c r="R70" s="139"/>
      <c r="S70" s="137">
        <v>0</v>
      </c>
      <c r="T70" s="138"/>
      <c r="U70" s="138"/>
      <c r="V70" s="139"/>
      <c r="W70" s="153">
        <f t="shared" si="3"/>
        <v>0</v>
      </c>
      <c r="X70" s="154"/>
      <c r="Y70" s="154"/>
      <c r="Z70" s="155"/>
      <c r="AI70" s="224">
        <f>'ЦФУ Продажи'!S$59</f>
        <v>0</v>
      </c>
      <c r="AJ70" s="224"/>
      <c r="AK70" s="224"/>
      <c r="AL70" s="2" t="s">
        <v>280</v>
      </c>
    </row>
    <row r="71" spans="1:38" ht="13.5" thickBot="1">
      <c r="A71" s="189"/>
      <c r="B71" s="191" t="s">
        <v>28</v>
      </c>
      <c r="C71" s="192"/>
      <c r="D71" s="192"/>
      <c r="E71" s="192"/>
      <c r="F71" s="193"/>
      <c r="G71" s="149">
        <f>IF(G70&lt;0,G63,G63+G70)</f>
        <v>27.7</v>
      </c>
      <c r="H71" s="147"/>
      <c r="I71" s="147"/>
      <c r="J71" s="148"/>
      <c r="K71" s="146">
        <f>IF(K70&lt;0,K63,K63+K70)</f>
        <v>24.799999999999997</v>
      </c>
      <c r="L71" s="147"/>
      <c r="M71" s="147"/>
      <c r="N71" s="148"/>
      <c r="O71" s="149">
        <f>IF(O70&lt;0,O63,O63+O70)</f>
        <v>22</v>
      </c>
      <c r="P71" s="147"/>
      <c r="Q71" s="147"/>
      <c r="R71" s="148"/>
      <c r="S71" s="146">
        <f>IF(S70&lt;0,S63,S63+S70)</f>
        <v>17.799999999999997</v>
      </c>
      <c r="T71" s="147"/>
      <c r="U71" s="147"/>
      <c r="V71" s="148"/>
      <c r="W71" s="150">
        <f t="shared" si="3"/>
        <v>92.3</v>
      </c>
      <c r="X71" s="151"/>
      <c r="Y71" s="151"/>
      <c r="Z71" s="152"/>
      <c r="AA71" s="101">
        <f>IF($AI67&gt;0,IF(AA67&gt;=0,0,G60*($T$2+$T$3+$T$5)/100-AA67),IF(G60&lt;G59,G60*($T$2+$T$3+$T$5)/100,AA67))</f>
        <v>0</v>
      </c>
      <c r="AB71" s="101"/>
      <c r="AC71" s="101">
        <f>IF($AI67&gt;=0,IF(AC67&gt;=0,0,K60*($T$2+$T$3+$T$4+$T$5)/100-AC67),IF(AC67&lt;0,K60*($T$2+$T$3+$T$4+$T$5)/100,AC67))</f>
        <v>0</v>
      </c>
      <c r="AD71" s="101"/>
      <c r="AE71" s="101">
        <f>IF($AI67&gt;=0,IF(AE67&gt;=0,0,O60*($T$2+$T$3+$T$4+$T$5)/100-AE67),IF(AE67&lt;0,O60*($T$2+$T$3+$T$4+$T$5)/100,AE67))</f>
        <v>0</v>
      </c>
      <c r="AF71" s="101"/>
      <c r="AG71" s="101">
        <f>IF($AI67&gt;=0,IF(AG67&gt;=0,0,S60*($T$2+$T$3+$T$4+$T$5)/100-AG67),IF(AG67&lt;0,S60*($T$2+$T$3+$T$4+$T$5)/100,AG67))</f>
        <v>0</v>
      </c>
      <c r="AH71" s="101"/>
      <c r="AI71" s="97">
        <f>SUM(AA71:AH71)</f>
        <v>0</v>
      </c>
      <c r="AJ71" s="98"/>
      <c r="AK71" s="98"/>
      <c r="AL71" s="2" t="s">
        <v>218</v>
      </c>
    </row>
    <row r="72" spans="1:35" ht="12.75" customHeight="1">
      <c r="A72" s="140" t="s">
        <v>66</v>
      </c>
      <c r="B72" s="93" t="s">
        <v>23</v>
      </c>
      <c r="C72" s="94"/>
      <c r="D72" s="94"/>
      <c r="E72" s="94"/>
      <c r="F72" s="199"/>
      <c r="G72" s="185">
        <v>1120</v>
      </c>
      <c r="H72" s="183"/>
      <c r="I72" s="183"/>
      <c r="J72" s="184"/>
      <c r="K72" s="182">
        <v>1400</v>
      </c>
      <c r="L72" s="183"/>
      <c r="M72" s="183"/>
      <c r="N72" s="184"/>
      <c r="O72" s="185">
        <v>1200</v>
      </c>
      <c r="P72" s="183"/>
      <c r="Q72" s="183"/>
      <c r="R72" s="184"/>
      <c r="S72" s="182">
        <v>1000</v>
      </c>
      <c r="T72" s="183"/>
      <c r="U72" s="183"/>
      <c r="V72" s="184"/>
      <c r="W72" s="170">
        <f aca="true" t="shared" si="4" ref="W72:W110">G72+K72+O72+S72</f>
        <v>4720</v>
      </c>
      <c r="X72" s="171"/>
      <c r="Y72" s="171"/>
      <c r="Z72" s="172"/>
      <c r="AA72" s="93" t="s">
        <v>53</v>
      </c>
      <c r="AB72" s="94"/>
      <c r="AC72" s="94"/>
      <c r="AD72" s="94"/>
      <c r="AE72" s="94"/>
      <c r="AF72" s="94"/>
      <c r="AG72" s="173">
        <f>(W77+$N$2*AG78)/W72*100+$Q$2+$T$2+$T$3+$T$5</f>
        <v>3.8728813559322033</v>
      </c>
      <c r="AH72" s="174"/>
      <c r="AI72" s="175"/>
    </row>
    <row r="73" spans="1:36" ht="12.75">
      <c r="A73" s="141"/>
      <c r="B73" s="125" t="s">
        <v>24</v>
      </c>
      <c r="C73" s="126"/>
      <c r="D73" s="126"/>
      <c r="E73" s="126"/>
      <c r="F73" s="161"/>
      <c r="G73" s="169">
        <v>1120</v>
      </c>
      <c r="H73" s="167"/>
      <c r="I73" s="167"/>
      <c r="J73" s="168"/>
      <c r="K73" s="166">
        <v>1400</v>
      </c>
      <c r="L73" s="167"/>
      <c r="M73" s="167"/>
      <c r="N73" s="168"/>
      <c r="O73" s="169">
        <v>1200</v>
      </c>
      <c r="P73" s="167"/>
      <c r="Q73" s="167"/>
      <c r="R73" s="168"/>
      <c r="S73" s="166">
        <v>1000</v>
      </c>
      <c r="T73" s="167"/>
      <c r="U73" s="167"/>
      <c r="V73" s="168"/>
      <c r="W73" s="153">
        <f t="shared" si="4"/>
        <v>4720</v>
      </c>
      <c r="X73" s="154"/>
      <c r="Y73" s="154"/>
      <c r="Z73" s="155"/>
      <c r="AA73" s="125" t="s">
        <v>54</v>
      </c>
      <c r="AB73" s="126"/>
      <c r="AC73" s="126"/>
      <c r="AD73" s="126"/>
      <c r="AE73" s="126"/>
      <c r="AF73" s="126"/>
      <c r="AG73" s="180">
        <f>(AG72-$L$2)*W72/100</f>
        <v>12.631578947368421</v>
      </c>
      <c r="AH73" s="180"/>
      <c r="AI73" s="181"/>
      <c r="AJ73" s="2" t="s">
        <v>284</v>
      </c>
    </row>
    <row r="74" spans="1:43" ht="12.75">
      <c r="A74" s="141"/>
      <c r="B74" s="125" t="s">
        <v>29</v>
      </c>
      <c r="C74" s="126"/>
      <c r="D74" s="126"/>
      <c r="E74" s="126"/>
      <c r="F74" s="161"/>
      <c r="G74" s="156">
        <f>IF(G72&lt;=G73,$N$2+G73/100*($Q$2+$T$2)+$AI81/$AG78+$AI83+IF(AI80&gt;0,AI80,0),$N$2+G73/100*$Q$2+$AI81/$AG78+$AI83+IF(AI80&gt;0,AI80,0))</f>
        <v>28.4</v>
      </c>
      <c r="H74" s="157"/>
      <c r="I74" s="157"/>
      <c r="J74" s="158"/>
      <c r="K74" s="156">
        <f>IF(K72&lt;=K73,$N$2+K73/100*($Q$2+$T$2)+$AI81/$AG78+$AI83,$N$2+K73/100*$Q$2+$AI81/$AG78+$AI83)</f>
        <v>27.599999999999998</v>
      </c>
      <c r="L74" s="157"/>
      <c r="M74" s="157"/>
      <c r="N74" s="158"/>
      <c r="O74" s="156">
        <f>IF(O72&lt;=O73,$N$2+O73/100*($Q$2+$T$2)+$AI81/$AG78+$AI83,$N$2+O73/100*$Q$2+$AI81/$AG78+$AI83)</f>
        <v>24.799999999999997</v>
      </c>
      <c r="P74" s="157"/>
      <c r="Q74" s="157"/>
      <c r="R74" s="158"/>
      <c r="S74" s="156">
        <f>IF(S72&lt;=S73,$N$2+S73/100*($Q$2+$T$2)+$AI81/$AG78+$AI83,$N$2+S73/100*$Q$2+$AI81/$AG78+$AI83)</f>
        <v>22</v>
      </c>
      <c r="T74" s="157"/>
      <c r="U74" s="157"/>
      <c r="V74" s="158"/>
      <c r="W74" s="153">
        <f t="shared" si="4"/>
        <v>102.8</v>
      </c>
      <c r="X74" s="154"/>
      <c r="Y74" s="154"/>
      <c r="Z74" s="155"/>
      <c r="AA74" s="205" t="s">
        <v>55</v>
      </c>
      <c r="AB74" s="126"/>
      <c r="AC74" s="126"/>
      <c r="AD74" s="126"/>
      <c r="AE74" s="126"/>
      <c r="AF74" s="126"/>
      <c r="AG74" s="122">
        <f>SUM(AJ75:AQ75)+AG73</f>
        <v>12.631578947368421</v>
      </c>
      <c r="AH74" s="123"/>
      <c r="AI74" s="124"/>
      <c r="AJ74" s="225">
        <f>$N$2+G72*($Q$2+$T$2+$T$3/$AG78)/100+$T$5*$W72/100</f>
        <v>28.4</v>
      </c>
      <c r="AK74" s="226"/>
      <c r="AL74" s="225">
        <f>$N$2+K72*($Q$2+$T$2+$T$3/$AG78)/100</f>
        <v>27.599999999999998</v>
      </c>
      <c r="AM74" s="226"/>
      <c r="AN74" s="225">
        <f>$N$2+O72*($Q$2+$T$2+$T$3/$AG78)/100</f>
        <v>24.8</v>
      </c>
      <c r="AO74" s="226"/>
      <c r="AP74" s="225">
        <f>$N$2+S72*($Q$2+$T$2+$T$3/$AG78)/100</f>
        <v>22</v>
      </c>
      <c r="AQ74" s="226"/>
    </row>
    <row r="75" spans="1:43" ht="12.75">
      <c r="A75" s="141"/>
      <c r="B75" s="125" t="s">
        <v>10</v>
      </c>
      <c r="C75" s="126"/>
      <c r="D75" s="126"/>
      <c r="E75" s="126"/>
      <c r="F75" s="161"/>
      <c r="G75" s="169">
        <v>20</v>
      </c>
      <c r="H75" s="167"/>
      <c r="I75" s="167"/>
      <c r="J75" s="168"/>
      <c r="K75" s="166">
        <v>8</v>
      </c>
      <c r="L75" s="167"/>
      <c r="M75" s="167"/>
      <c r="N75" s="168"/>
      <c r="O75" s="169">
        <v>8</v>
      </c>
      <c r="P75" s="167"/>
      <c r="Q75" s="167"/>
      <c r="R75" s="168"/>
      <c r="S75" s="166">
        <v>0</v>
      </c>
      <c r="T75" s="167"/>
      <c r="U75" s="167"/>
      <c r="V75" s="168"/>
      <c r="W75" s="153">
        <f t="shared" si="4"/>
        <v>36</v>
      </c>
      <c r="X75" s="154"/>
      <c r="Y75" s="154"/>
      <c r="Z75" s="155"/>
      <c r="AA75" s="205" t="s">
        <v>56</v>
      </c>
      <c r="AB75" s="126"/>
      <c r="AC75" s="126"/>
      <c r="AD75" s="126"/>
      <c r="AE75" s="126"/>
      <c r="AF75" s="126"/>
      <c r="AG75" s="134">
        <f>W82+AG74</f>
        <v>0</v>
      </c>
      <c r="AH75" s="134"/>
      <c r="AI75" s="135"/>
      <c r="AJ75" s="225">
        <f>IF(AJ74&gt;G75,0,G75-AJ74)</f>
        <v>0</v>
      </c>
      <c r="AK75" s="226"/>
      <c r="AL75" s="225">
        <f>IF(AL74&gt;K75,0,K75-AL74)</f>
        <v>0</v>
      </c>
      <c r="AM75" s="226"/>
      <c r="AN75" s="225">
        <f>IF(AN74&gt;O75,0,O75-AN74)</f>
        <v>0</v>
      </c>
      <c r="AO75" s="226"/>
      <c r="AP75" s="225">
        <f>IF(AP74&gt;S75,0,S75-AP74)</f>
        <v>0</v>
      </c>
      <c r="AQ75" s="226"/>
    </row>
    <row r="76" spans="1:35" ht="13.5" thickBot="1">
      <c r="A76" s="141"/>
      <c r="B76" s="125" t="s">
        <v>58</v>
      </c>
      <c r="C76" s="126"/>
      <c r="D76" s="126"/>
      <c r="E76" s="126"/>
      <c r="F76" s="161"/>
      <c r="G76" s="156">
        <f>IF(G74&lt;G75,G75,G74)</f>
        <v>28.4</v>
      </c>
      <c r="H76" s="157"/>
      <c r="I76" s="157"/>
      <c r="J76" s="158"/>
      <c r="K76" s="160">
        <f>IF(K74&lt;K75,K75,K74)</f>
        <v>27.599999999999998</v>
      </c>
      <c r="L76" s="157"/>
      <c r="M76" s="157"/>
      <c r="N76" s="158"/>
      <c r="O76" s="156">
        <f>IF(O74&lt;O75,O75,O74)</f>
        <v>24.799999999999997</v>
      </c>
      <c r="P76" s="157"/>
      <c r="Q76" s="157"/>
      <c r="R76" s="158"/>
      <c r="S76" s="160">
        <f>IF(S74&lt;S75,S75,S74)</f>
        <v>22</v>
      </c>
      <c r="T76" s="157"/>
      <c r="U76" s="157"/>
      <c r="V76" s="158"/>
      <c r="W76" s="153">
        <f t="shared" si="4"/>
        <v>102.8</v>
      </c>
      <c r="X76" s="154"/>
      <c r="Y76" s="154"/>
      <c r="Z76" s="155"/>
      <c r="AA76" s="232" t="s">
        <v>57</v>
      </c>
      <c r="AB76" s="90"/>
      <c r="AC76" s="90"/>
      <c r="AD76" s="90"/>
      <c r="AE76" s="90"/>
      <c r="AF76" s="90"/>
      <c r="AG76" s="91">
        <f>-AG74+AG75-W83</f>
        <v>-12.631578947368421</v>
      </c>
      <c r="AH76" s="91"/>
      <c r="AI76" s="85"/>
    </row>
    <row r="77" spans="1:35" ht="13.5" thickBot="1">
      <c r="A77" s="141"/>
      <c r="B77" s="125" t="s">
        <v>41</v>
      </c>
      <c r="C77" s="126"/>
      <c r="D77" s="126"/>
      <c r="E77" s="126"/>
      <c r="F77" s="161"/>
      <c r="G77" s="156">
        <v>20</v>
      </c>
      <c r="H77" s="157"/>
      <c r="I77" s="157"/>
      <c r="J77" s="158"/>
      <c r="K77" s="160">
        <v>20</v>
      </c>
      <c r="L77" s="157"/>
      <c r="M77" s="157"/>
      <c r="N77" s="158"/>
      <c r="O77" s="156">
        <v>20</v>
      </c>
      <c r="P77" s="157"/>
      <c r="Q77" s="157"/>
      <c r="R77" s="158"/>
      <c r="S77" s="160">
        <v>20</v>
      </c>
      <c r="T77" s="157"/>
      <c r="U77" s="157"/>
      <c r="V77" s="158"/>
      <c r="W77" s="153">
        <f t="shared" si="4"/>
        <v>80</v>
      </c>
      <c r="X77" s="154"/>
      <c r="Y77" s="154"/>
      <c r="Z77" s="155"/>
      <c r="AA77" s="230" t="s">
        <v>59</v>
      </c>
      <c r="AB77" s="231"/>
      <c r="AC77" s="231"/>
      <c r="AD77" s="231"/>
      <c r="AE77" s="231"/>
      <c r="AF77" s="231"/>
      <c r="AG77" s="88">
        <f>AG74+AG76</f>
        <v>0</v>
      </c>
      <c r="AH77" s="89"/>
      <c r="AI77" s="84"/>
    </row>
    <row r="78" spans="1:35" ht="12.75">
      <c r="A78" s="141"/>
      <c r="B78" s="125" t="s">
        <v>42</v>
      </c>
      <c r="C78" s="126"/>
      <c r="D78" s="126"/>
      <c r="E78" s="126"/>
      <c r="F78" s="161"/>
      <c r="G78" s="169">
        <v>20</v>
      </c>
      <c r="H78" s="167"/>
      <c r="I78" s="167"/>
      <c r="J78" s="168"/>
      <c r="K78" s="166">
        <v>20</v>
      </c>
      <c r="L78" s="167"/>
      <c r="M78" s="167"/>
      <c r="N78" s="168"/>
      <c r="O78" s="169">
        <v>20</v>
      </c>
      <c r="P78" s="167"/>
      <c r="Q78" s="167"/>
      <c r="R78" s="168"/>
      <c r="S78" s="166">
        <v>20</v>
      </c>
      <c r="T78" s="167"/>
      <c r="U78" s="167"/>
      <c r="V78" s="168"/>
      <c r="W78" s="153">
        <f t="shared" si="4"/>
        <v>80</v>
      </c>
      <c r="X78" s="154"/>
      <c r="Y78" s="154"/>
      <c r="Z78" s="155"/>
      <c r="AA78" s="228" t="s">
        <v>279</v>
      </c>
      <c r="AB78" s="229"/>
      <c r="AC78" s="229"/>
      <c r="AD78" s="229"/>
      <c r="AE78" s="229"/>
      <c r="AF78" s="229"/>
      <c r="AG78" s="95">
        <v>4</v>
      </c>
      <c r="AH78" s="95"/>
      <c r="AI78" s="95"/>
    </row>
    <row r="79" spans="1:35" ht="12.75">
      <c r="A79" s="141"/>
      <c r="B79" s="125" t="s">
        <v>43</v>
      </c>
      <c r="C79" s="126"/>
      <c r="D79" s="126"/>
      <c r="E79" s="126"/>
      <c r="F79" s="161"/>
      <c r="G79" s="165">
        <f>G77-G78</f>
        <v>0</v>
      </c>
      <c r="H79" s="163"/>
      <c r="I79" s="163"/>
      <c r="J79" s="164"/>
      <c r="K79" s="162">
        <f>K77-K78</f>
        <v>0</v>
      </c>
      <c r="L79" s="163"/>
      <c r="M79" s="163"/>
      <c r="N79" s="164"/>
      <c r="O79" s="165">
        <f>O77-O78</f>
        <v>0</v>
      </c>
      <c r="P79" s="163"/>
      <c r="Q79" s="163"/>
      <c r="R79" s="164"/>
      <c r="S79" s="162">
        <v>0</v>
      </c>
      <c r="T79" s="163"/>
      <c r="U79" s="163"/>
      <c r="V79" s="164"/>
      <c r="W79" s="153">
        <f t="shared" si="4"/>
        <v>0</v>
      </c>
      <c r="X79" s="154"/>
      <c r="Y79" s="154"/>
      <c r="Z79" s="155"/>
      <c r="AA79" s="132">
        <f>W73*$L$2/100-AI84</f>
        <v>170.16842105263157</v>
      </c>
      <c r="AB79" s="233"/>
      <c r="AC79" s="233"/>
      <c r="AD79" s="233"/>
      <c r="AE79" s="233"/>
      <c r="AF79" s="233"/>
      <c r="AG79" s="233"/>
      <c r="AH79" s="233"/>
      <c r="AI79" s="233"/>
    </row>
    <row r="80" spans="1:38" ht="12.75">
      <c r="A80" s="141"/>
      <c r="B80" s="125" t="s">
        <v>30</v>
      </c>
      <c r="C80" s="126"/>
      <c r="D80" s="126"/>
      <c r="E80" s="126"/>
      <c r="F80" s="161"/>
      <c r="G80" s="156">
        <f>G73*$L$2/100-AA84</f>
        <v>40.37894736842105</v>
      </c>
      <c r="H80" s="157"/>
      <c r="I80" s="157"/>
      <c r="J80" s="158"/>
      <c r="K80" s="156">
        <f>K73*$L$2/100-AC84</f>
        <v>50.473684210526315</v>
      </c>
      <c r="L80" s="157"/>
      <c r="M80" s="157"/>
      <c r="N80" s="158"/>
      <c r="O80" s="156">
        <f>O73*$L$2/100-AE84</f>
        <v>43.26315789473684</v>
      </c>
      <c r="P80" s="157"/>
      <c r="Q80" s="157"/>
      <c r="R80" s="158"/>
      <c r="S80" s="156">
        <f>S73*$L$2/100-AG84</f>
        <v>36.05263157894737</v>
      </c>
      <c r="T80" s="157"/>
      <c r="U80" s="157"/>
      <c r="V80" s="158"/>
      <c r="W80" s="153">
        <f t="shared" si="4"/>
        <v>170.16842105263157</v>
      </c>
      <c r="X80" s="154"/>
      <c r="Y80" s="154"/>
      <c r="Z80" s="155"/>
      <c r="AA80" s="101">
        <f>IF(G73&lt;G72,$T$5*(G73-G72)*$L$3/100,$T$5*G73/100)</f>
        <v>1.12</v>
      </c>
      <c r="AB80" s="101"/>
      <c r="AC80" s="101">
        <f>IF(K73&lt;K72,$T$5*(K73-K72)*$L$3/100,$T$5*K73/100)</f>
        <v>1.4</v>
      </c>
      <c r="AD80" s="101"/>
      <c r="AE80" s="101">
        <f>IF(O73&lt;O72,$T$5*(O73-O72)*$L$3/100,$T$5*O73/100)</f>
        <v>1.2</v>
      </c>
      <c r="AF80" s="101"/>
      <c r="AG80" s="101">
        <f>IF(S73&lt;S72,$T$5*(S73-S72)*$L$3/100,$T$5*S73/100)</f>
        <v>1</v>
      </c>
      <c r="AH80" s="101"/>
      <c r="AI80" s="97">
        <f>SUM(AA80:AH80)</f>
        <v>4.72</v>
      </c>
      <c r="AJ80" s="98"/>
      <c r="AK80" s="98"/>
      <c r="AL80" s="2" t="s">
        <v>277</v>
      </c>
    </row>
    <row r="81" spans="1:38" ht="12.75">
      <c r="A81" s="141"/>
      <c r="B81" s="125" t="s">
        <v>283</v>
      </c>
      <c r="C81" s="126"/>
      <c r="D81" s="126"/>
      <c r="E81" s="126"/>
      <c r="F81" s="161"/>
      <c r="G81" s="156">
        <f>G80-G77-G76+$AI83</f>
        <v>-8.021052631578947</v>
      </c>
      <c r="H81" s="157"/>
      <c r="I81" s="157"/>
      <c r="J81" s="158"/>
      <c r="K81" s="156">
        <f>K80-K77-K76+$AI83</f>
        <v>2.873684210526317</v>
      </c>
      <c r="L81" s="157"/>
      <c r="M81" s="157"/>
      <c r="N81" s="158"/>
      <c r="O81" s="156">
        <f>O80-O77-O76+$AI83</f>
        <v>-1.5368421052631547</v>
      </c>
      <c r="P81" s="157"/>
      <c r="Q81" s="157"/>
      <c r="R81" s="158"/>
      <c r="S81" s="156">
        <f>S80-S77-S76+$AI83</f>
        <v>-5.94736842105263</v>
      </c>
      <c r="T81" s="157"/>
      <c r="U81" s="157"/>
      <c r="V81" s="158"/>
      <c r="W81" s="153">
        <f t="shared" si="4"/>
        <v>-12.631578947368414</v>
      </c>
      <c r="X81" s="154"/>
      <c r="Y81" s="154"/>
      <c r="Z81" s="159"/>
      <c r="AA81" s="101">
        <f>IF(G73&lt;G72,0,$T$3*G73/100)</f>
        <v>0</v>
      </c>
      <c r="AB81" s="101"/>
      <c r="AC81" s="101">
        <f>IF(K73&lt;K72,0,$T$3*K73/100)</f>
        <v>0</v>
      </c>
      <c r="AD81" s="101"/>
      <c r="AE81" s="101">
        <f>IF(O73&lt;O72,0,$T$3*O73/100)</f>
        <v>0</v>
      </c>
      <c r="AF81" s="101"/>
      <c r="AG81" s="101">
        <f>IF(S73&lt;S72,0,$T$3*S73/100)</f>
        <v>0</v>
      </c>
      <c r="AH81" s="101"/>
      <c r="AI81" s="97">
        <f>SUM(AA81:AH81)</f>
        <v>0</v>
      </c>
      <c r="AJ81" s="98"/>
      <c r="AK81" s="98"/>
      <c r="AL81" s="2" t="s">
        <v>248</v>
      </c>
    </row>
    <row r="82" spans="1:38" ht="12.75">
      <c r="A82" s="141"/>
      <c r="B82" s="125" t="s">
        <v>45</v>
      </c>
      <c r="C82" s="126"/>
      <c r="D82" s="126"/>
      <c r="E82" s="126"/>
      <c r="F82" s="161"/>
      <c r="G82" s="156">
        <f>G81+G79</f>
        <v>-8.021052631578947</v>
      </c>
      <c r="H82" s="157"/>
      <c r="I82" s="157"/>
      <c r="J82" s="158"/>
      <c r="K82" s="160">
        <f>K81+K79</f>
        <v>2.873684210526317</v>
      </c>
      <c r="L82" s="157"/>
      <c r="M82" s="157"/>
      <c r="N82" s="158"/>
      <c r="O82" s="156">
        <f>O81+O79</f>
        <v>-1.5368421052631547</v>
      </c>
      <c r="P82" s="157"/>
      <c r="Q82" s="157"/>
      <c r="R82" s="158"/>
      <c r="S82" s="160">
        <f>S81+S79</f>
        <v>-5.94736842105263</v>
      </c>
      <c r="T82" s="157"/>
      <c r="U82" s="157"/>
      <c r="V82" s="158"/>
      <c r="W82" s="153">
        <f t="shared" si="4"/>
        <v>-12.631578947368414</v>
      </c>
      <c r="X82" s="154"/>
      <c r="Y82" s="154"/>
      <c r="Z82" s="155"/>
      <c r="AA82" s="101">
        <f>IF(G73&lt;G72,0,$T$4*G73/100)</f>
        <v>0</v>
      </c>
      <c r="AB82" s="101"/>
      <c r="AC82" s="101">
        <f>IF(K73&lt;K72,0,$T$4*K73/100)</f>
        <v>0</v>
      </c>
      <c r="AD82" s="101"/>
      <c r="AE82" s="101">
        <f>IF(O73&lt;O72,0,$T$4*O73/100)</f>
        <v>0</v>
      </c>
      <c r="AF82" s="101"/>
      <c r="AG82" s="101">
        <f>IF(S73&lt;S72,0,$T$4*S73/100)</f>
        <v>0</v>
      </c>
      <c r="AH82" s="101"/>
      <c r="AI82" s="97">
        <f>SUM(AA82:AH82)</f>
        <v>0</v>
      </c>
      <c r="AJ82" s="98"/>
      <c r="AK82" s="98"/>
      <c r="AL82" s="2" t="s">
        <v>281</v>
      </c>
    </row>
    <row r="83" spans="1:38" ht="12.75">
      <c r="A83" s="141"/>
      <c r="B83" s="194" t="s">
        <v>26</v>
      </c>
      <c r="C83" s="98"/>
      <c r="D83" s="98"/>
      <c r="E83" s="98"/>
      <c r="F83" s="195"/>
      <c r="G83" s="196">
        <f>$AG75/100*$AL$3</f>
        <v>0</v>
      </c>
      <c r="H83" s="197"/>
      <c r="I83" s="197"/>
      <c r="J83" s="198"/>
      <c r="K83" s="137">
        <f>$AG75/100*$AL$4</f>
        <v>0</v>
      </c>
      <c r="L83" s="138"/>
      <c r="M83" s="138"/>
      <c r="N83" s="139"/>
      <c r="O83" s="137">
        <f>$AG75/100*$AL$4</f>
        <v>0</v>
      </c>
      <c r="P83" s="138"/>
      <c r="Q83" s="138"/>
      <c r="R83" s="139"/>
      <c r="S83" s="137">
        <v>0</v>
      </c>
      <c r="T83" s="138"/>
      <c r="U83" s="138"/>
      <c r="V83" s="139"/>
      <c r="W83" s="153">
        <f t="shared" si="4"/>
        <v>0</v>
      </c>
      <c r="X83" s="154"/>
      <c r="Y83" s="154"/>
      <c r="Z83" s="155"/>
      <c r="AI83" s="224">
        <f>'ЦФУ Продажи'!V$59</f>
        <v>0</v>
      </c>
      <c r="AJ83" s="224"/>
      <c r="AK83" s="224"/>
      <c r="AL83" s="2" t="s">
        <v>280</v>
      </c>
    </row>
    <row r="84" spans="1:38" ht="13.5" thickBot="1">
      <c r="A84" s="141"/>
      <c r="B84" s="191" t="s">
        <v>28</v>
      </c>
      <c r="C84" s="192"/>
      <c r="D84" s="192"/>
      <c r="E84" s="192"/>
      <c r="F84" s="193"/>
      <c r="G84" s="149">
        <f>IF(G83&lt;0,G76,G76+G83)</f>
        <v>28.4</v>
      </c>
      <c r="H84" s="147"/>
      <c r="I84" s="147"/>
      <c r="J84" s="148"/>
      <c r="K84" s="146">
        <f>IF(K83&lt;0,K76,K76+K83)</f>
        <v>27.599999999999998</v>
      </c>
      <c r="L84" s="147"/>
      <c r="M84" s="147"/>
      <c r="N84" s="148"/>
      <c r="O84" s="149">
        <f>IF(O83&lt;0,O76,O76+O83)</f>
        <v>24.799999999999997</v>
      </c>
      <c r="P84" s="147"/>
      <c r="Q84" s="147"/>
      <c r="R84" s="148"/>
      <c r="S84" s="146">
        <f>IF(S83&lt;0,S76,S76+S83)</f>
        <v>22</v>
      </c>
      <c r="T84" s="147"/>
      <c r="U84" s="147"/>
      <c r="V84" s="148"/>
      <c r="W84" s="150">
        <f t="shared" si="4"/>
        <v>102.8</v>
      </c>
      <c r="X84" s="151"/>
      <c r="Y84" s="151"/>
      <c r="Z84" s="152"/>
      <c r="AA84" s="101">
        <f>IF($AI80&gt;0,IF(AA80&gt;=0,0,G73*($T$2+$T$3+$T$5)/100-AA80),IF(G73&lt;G72,G73*($T$2+$T$3+$T$5)/100,AA80))</f>
        <v>0</v>
      </c>
      <c r="AB84" s="101"/>
      <c r="AC84" s="101">
        <f>IF($AI80&gt;=0,IF(AC80&gt;=0,0,K73*($T$2+$T$3+$T$4+$T$5)/100-AC80),IF(AC80&lt;0,K73*($T$2+$T$3+$T$4+$T$5)/100,AC80))</f>
        <v>0</v>
      </c>
      <c r="AD84" s="101"/>
      <c r="AE84" s="101">
        <f>IF($AI80&gt;=0,IF(AE80&gt;=0,0,O73*($T$2+$T$3+$T$4+$T$5)/100-AE80),IF(AE80&lt;0,O73*($T$2+$T$3+$T$4+$T$5)/100,AE80))</f>
        <v>0</v>
      </c>
      <c r="AF84" s="101"/>
      <c r="AG84" s="101">
        <f>IF($AI80&gt;=0,IF(AG80&gt;=0,0,S73*($T$2+$T$3+$T$4+$T$5)/100-AG80),IF(AG80&lt;0,S73*($T$2+$T$3+$T$4+$T$5)/100,AG80))</f>
        <v>0</v>
      </c>
      <c r="AH84" s="101"/>
      <c r="AI84" s="97">
        <f>SUM(AA84:AH84)</f>
        <v>0</v>
      </c>
      <c r="AJ84" s="98"/>
      <c r="AK84" s="98"/>
      <c r="AL84" s="2" t="s">
        <v>218</v>
      </c>
    </row>
    <row r="85" spans="1:35" ht="12.75" customHeight="1">
      <c r="A85" s="140" t="s">
        <v>67</v>
      </c>
      <c r="B85" s="93" t="s">
        <v>23</v>
      </c>
      <c r="C85" s="94"/>
      <c r="D85" s="94"/>
      <c r="E85" s="94"/>
      <c r="F85" s="199"/>
      <c r="G85" s="185">
        <v>1120</v>
      </c>
      <c r="H85" s="183"/>
      <c r="I85" s="183"/>
      <c r="J85" s="184"/>
      <c r="K85" s="182">
        <v>1400</v>
      </c>
      <c r="L85" s="183"/>
      <c r="M85" s="183"/>
      <c r="N85" s="184"/>
      <c r="O85" s="185">
        <v>1400</v>
      </c>
      <c r="P85" s="183"/>
      <c r="Q85" s="183"/>
      <c r="R85" s="184"/>
      <c r="S85" s="182">
        <v>1200</v>
      </c>
      <c r="T85" s="183"/>
      <c r="U85" s="183"/>
      <c r="V85" s="184"/>
      <c r="W85" s="170">
        <f t="shared" si="4"/>
        <v>5120</v>
      </c>
      <c r="X85" s="171"/>
      <c r="Y85" s="171"/>
      <c r="Z85" s="172"/>
      <c r="AA85" s="93" t="s">
        <v>53</v>
      </c>
      <c r="AB85" s="94"/>
      <c r="AC85" s="94"/>
      <c r="AD85" s="94"/>
      <c r="AE85" s="94"/>
      <c r="AF85" s="94"/>
      <c r="AG85" s="173">
        <f>(W90+$N$2*AG91)/W85*100+$Q$2+$T$2+$T$3+$T$5</f>
        <v>3.6875</v>
      </c>
      <c r="AH85" s="174"/>
      <c r="AI85" s="175"/>
    </row>
    <row r="86" spans="1:36" ht="12.75">
      <c r="A86" s="141"/>
      <c r="B86" s="125" t="s">
        <v>24</v>
      </c>
      <c r="C86" s="126"/>
      <c r="D86" s="126"/>
      <c r="E86" s="126"/>
      <c r="F86" s="161"/>
      <c r="G86" s="179">
        <v>1120</v>
      </c>
      <c r="H86" s="177"/>
      <c r="I86" s="177"/>
      <c r="J86" s="178"/>
      <c r="K86" s="176">
        <v>1400</v>
      </c>
      <c r="L86" s="177"/>
      <c r="M86" s="177"/>
      <c r="N86" s="178"/>
      <c r="O86" s="179">
        <v>1400</v>
      </c>
      <c r="P86" s="177"/>
      <c r="Q86" s="177"/>
      <c r="R86" s="178"/>
      <c r="S86" s="176">
        <v>1200</v>
      </c>
      <c r="T86" s="177"/>
      <c r="U86" s="177"/>
      <c r="V86" s="178"/>
      <c r="W86" s="153">
        <f t="shared" si="4"/>
        <v>5120</v>
      </c>
      <c r="X86" s="154"/>
      <c r="Y86" s="154"/>
      <c r="Z86" s="155"/>
      <c r="AA86" s="125" t="s">
        <v>54</v>
      </c>
      <c r="AB86" s="126"/>
      <c r="AC86" s="126"/>
      <c r="AD86" s="126"/>
      <c r="AE86" s="126"/>
      <c r="AF86" s="126"/>
      <c r="AG86" s="180">
        <f>(AG85-$L$2)*W85/100</f>
        <v>4.21052631578948</v>
      </c>
      <c r="AH86" s="180"/>
      <c r="AI86" s="181"/>
      <c r="AJ86" s="2" t="s">
        <v>284</v>
      </c>
    </row>
    <row r="87" spans="1:43" ht="12.75">
      <c r="A87" s="141"/>
      <c r="B87" s="125" t="s">
        <v>29</v>
      </c>
      <c r="C87" s="126"/>
      <c r="D87" s="126"/>
      <c r="E87" s="126"/>
      <c r="F87" s="161"/>
      <c r="G87" s="156">
        <f>IF(G85&lt;=G86,$N$2+G86/100*($Q$2+$T$2)+$AI94/$AG91+$AI96+IF(AI93&gt;0,AI93,0),$N$2+G86/100*$Q$2+$AI94/$AG91+$AI96+IF(AI93&gt;0,AI93,0))</f>
        <v>28.8</v>
      </c>
      <c r="H87" s="157"/>
      <c r="I87" s="157"/>
      <c r="J87" s="158"/>
      <c r="K87" s="156">
        <f>IF(K85&lt;=K86,$N$2+K86/100*($Q$2+$T$2)+$AI94/$AG91+$AI96,$N$2+K86/100*$Q$2+$AI94/$AG91+$AI96)</f>
        <v>27.599999999999998</v>
      </c>
      <c r="L87" s="157"/>
      <c r="M87" s="157"/>
      <c r="N87" s="158"/>
      <c r="O87" s="156">
        <f>IF(O85&lt;=O86,$N$2+O86/100*($Q$2+$T$2)+$AI94/$AG91+$AI96,$N$2+O86/100*$Q$2+$AI94/$AG91+$AI96)</f>
        <v>27.599999999999998</v>
      </c>
      <c r="P87" s="157"/>
      <c r="Q87" s="157"/>
      <c r="R87" s="158"/>
      <c r="S87" s="156">
        <f>IF(S85&lt;=S86,$N$2+S86/100*($Q$2+$T$2)+$AI94/$AG91+$AI96,$N$2+S86/100*$Q$2+$AI94/$AG91+$AI96)</f>
        <v>24.799999999999997</v>
      </c>
      <c r="T87" s="157"/>
      <c r="U87" s="157"/>
      <c r="V87" s="158"/>
      <c r="W87" s="153">
        <f t="shared" si="4"/>
        <v>108.8</v>
      </c>
      <c r="X87" s="154"/>
      <c r="Y87" s="154"/>
      <c r="Z87" s="155"/>
      <c r="AA87" s="205" t="s">
        <v>55</v>
      </c>
      <c r="AB87" s="126"/>
      <c r="AC87" s="126"/>
      <c r="AD87" s="126"/>
      <c r="AE87" s="126"/>
      <c r="AF87" s="126"/>
      <c r="AG87" s="122">
        <f>SUM(AJ88:AQ88)+AG86</f>
        <v>4.21052631578948</v>
      </c>
      <c r="AH87" s="123"/>
      <c r="AI87" s="124"/>
      <c r="AJ87" s="225">
        <f>$N$2+G85*($Q$2+$T$2+$T$3/$AG91)/100+$T$5*$W85/100</f>
        <v>28.8</v>
      </c>
      <c r="AK87" s="226"/>
      <c r="AL87" s="225">
        <f>$N$2+K85*($Q$2+$T$2+$T$3/$AG91)/100</f>
        <v>27.599999999999998</v>
      </c>
      <c r="AM87" s="226"/>
      <c r="AN87" s="225">
        <f>$N$2+O85*($Q$2+$T$2+$T$3/$AG91)/100</f>
        <v>27.599999999999998</v>
      </c>
      <c r="AO87" s="226"/>
      <c r="AP87" s="225">
        <f>$N$2+S85*($Q$2+$T$2+$T$3/$AG91)/100</f>
        <v>24.8</v>
      </c>
      <c r="AQ87" s="226"/>
    </row>
    <row r="88" spans="1:43" ht="12.75">
      <c r="A88" s="141"/>
      <c r="B88" s="125" t="s">
        <v>10</v>
      </c>
      <c r="C88" s="126"/>
      <c r="D88" s="126"/>
      <c r="E88" s="126"/>
      <c r="F88" s="161"/>
      <c r="G88" s="169">
        <v>20</v>
      </c>
      <c r="H88" s="167"/>
      <c r="I88" s="167"/>
      <c r="J88" s="168"/>
      <c r="K88" s="166">
        <v>8</v>
      </c>
      <c r="L88" s="167"/>
      <c r="M88" s="167"/>
      <c r="N88" s="168"/>
      <c r="O88" s="169">
        <v>8</v>
      </c>
      <c r="P88" s="167"/>
      <c r="Q88" s="167"/>
      <c r="R88" s="168"/>
      <c r="S88" s="166">
        <v>0</v>
      </c>
      <c r="T88" s="167"/>
      <c r="U88" s="167"/>
      <c r="V88" s="168"/>
      <c r="W88" s="153">
        <f t="shared" si="4"/>
        <v>36</v>
      </c>
      <c r="X88" s="154"/>
      <c r="Y88" s="154"/>
      <c r="Z88" s="155"/>
      <c r="AA88" s="205" t="s">
        <v>56</v>
      </c>
      <c r="AB88" s="126"/>
      <c r="AC88" s="126"/>
      <c r="AD88" s="126"/>
      <c r="AE88" s="126"/>
      <c r="AF88" s="126"/>
      <c r="AG88" s="134">
        <f>W95+AG87</f>
        <v>1.0658141036401503E-14</v>
      </c>
      <c r="AH88" s="134"/>
      <c r="AI88" s="135"/>
      <c r="AJ88" s="225">
        <f>IF(AJ87&gt;G88,0,G88-AJ87)</f>
        <v>0</v>
      </c>
      <c r="AK88" s="226"/>
      <c r="AL88" s="225">
        <f>IF(AL87&gt;K88,0,K88-AL87)</f>
        <v>0</v>
      </c>
      <c r="AM88" s="226"/>
      <c r="AN88" s="225">
        <f>IF(AN87&gt;O88,0,O88-AN87)</f>
        <v>0</v>
      </c>
      <c r="AO88" s="226"/>
      <c r="AP88" s="225">
        <f>IF(AP87&gt;S88,0,S88-AP87)</f>
        <v>0</v>
      </c>
      <c r="AQ88" s="226"/>
    </row>
    <row r="89" spans="1:35" ht="13.5" thickBot="1">
      <c r="A89" s="141"/>
      <c r="B89" s="125" t="s">
        <v>58</v>
      </c>
      <c r="C89" s="126"/>
      <c r="D89" s="126"/>
      <c r="E89" s="126"/>
      <c r="F89" s="161"/>
      <c r="G89" s="156">
        <f>IF(G87&lt;G88,G88,G87)</f>
        <v>28.8</v>
      </c>
      <c r="H89" s="157"/>
      <c r="I89" s="157"/>
      <c r="J89" s="158"/>
      <c r="K89" s="160">
        <f>IF(K87&lt;K88,K88,K87)</f>
        <v>27.599999999999998</v>
      </c>
      <c r="L89" s="157"/>
      <c r="M89" s="157"/>
      <c r="N89" s="158"/>
      <c r="O89" s="156">
        <f>IF(O87&lt;O88,O88,O87)</f>
        <v>27.599999999999998</v>
      </c>
      <c r="P89" s="157"/>
      <c r="Q89" s="157"/>
      <c r="R89" s="158"/>
      <c r="S89" s="160">
        <f>IF(S87&lt;S88,S88,S87)</f>
        <v>24.799999999999997</v>
      </c>
      <c r="T89" s="157"/>
      <c r="U89" s="157"/>
      <c r="V89" s="158"/>
      <c r="W89" s="153">
        <f t="shared" si="4"/>
        <v>108.8</v>
      </c>
      <c r="X89" s="154"/>
      <c r="Y89" s="154"/>
      <c r="Z89" s="155"/>
      <c r="AA89" s="232" t="s">
        <v>57</v>
      </c>
      <c r="AB89" s="90"/>
      <c r="AC89" s="90"/>
      <c r="AD89" s="90"/>
      <c r="AE89" s="90"/>
      <c r="AF89" s="90"/>
      <c r="AG89" s="91">
        <f>-AG87+AG88-W96</f>
        <v>-4.210526315789469</v>
      </c>
      <c r="AH89" s="91"/>
      <c r="AI89" s="85"/>
    </row>
    <row r="90" spans="1:35" ht="13.5" thickBot="1">
      <c r="A90" s="141"/>
      <c r="B90" s="125" t="s">
        <v>41</v>
      </c>
      <c r="C90" s="126"/>
      <c r="D90" s="126"/>
      <c r="E90" s="126"/>
      <c r="F90" s="161"/>
      <c r="G90" s="156">
        <v>20</v>
      </c>
      <c r="H90" s="157"/>
      <c r="I90" s="157"/>
      <c r="J90" s="158"/>
      <c r="K90" s="160">
        <v>20</v>
      </c>
      <c r="L90" s="157"/>
      <c r="M90" s="157"/>
      <c r="N90" s="158"/>
      <c r="O90" s="156">
        <v>20</v>
      </c>
      <c r="P90" s="157"/>
      <c r="Q90" s="157"/>
      <c r="R90" s="158"/>
      <c r="S90" s="160">
        <v>20</v>
      </c>
      <c r="T90" s="157"/>
      <c r="U90" s="157"/>
      <c r="V90" s="158"/>
      <c r="W90" s="153">
        <f t="shared" si="4"/>
        <v>80</v>
      </c>
      <c r="X90" s="154"/>
      <c r="Y90" s="154"/>
      <c r="Z90" s="155"/>
      <c r="AA90" s="230" t="s">
        <v>59</v>
      </c>
      <c r="AB90" s="231"/>
      <c r="AC90" s="231"/>
      <c r="AD90" s="231"/>
      <c r="AE90" s="231"/>
      <c r="AF90" s="231"/>
      <c r="AG90" s="88">
        <f>AG87+AG89</f>
        <v>1.0658141036401503E-14</v>
      </c>
      <c r="AH90" s="89"/>
      <c r="AI90" s="84"/>
    </row>
    <row r="91" spans="1:35" ht="12.75">
      <c r="A91" s="141"/>
      <c r="B91" s="125" t="s">
        <v>42</v>
      </c>
      <c r="C91" s="126"/>
      <c r="D91" s="126"/>
      <c r="E91" s="126"/>
      <c r="F91" s="161"/>
      <c r="G91" s="169">
        <v>20</v>
      </c>
      <c r="H91" s="167"/>
      <c r="I91" s="167"/>
      <c r="J91" s="168"/>
      <c r="K91" s="166">
        <v>20</v>
      </c>
      <c r="L91" s="167"/>
      <c r="M91" s="167"/>
      <c r="N91" s="168"/>
      <c r="O91" s="169">
        <v>20</v>
      </c>
      <c r="P91" s="167"/>
      <c r="Q91" s="167"/>
      <c r="R91" s="168"/>
      <c r="S91" s="166">
        <v>20</v>
      </c>
      <c r="T91" s="167"/>
      <c r="U91" s="167"/>
      <c r="V91" s="168"/>
      <c r="W91" s="153">
        <f t="shared" si="4"/>
        <v>80</v>
      </c>
      <c r="X91" s="154"/>
      <c r="Y91" s="154"/>
      <c r="Z91" s="155"/>
      <c r="AA91" s="228" t="s">
        <v>279</v>
      </c>
      <c r="AB91" s="229"/>
      <c r="AC91" s="229"/>
      <c r="AD91" s="229"/>
      <c r="AE91" s="229"/>
      <c r="AF91" s="229"/>
      <c r="AG91" s="95">
        <v>4</v>
      </c>
      <c r="AH91" s="95"/>
      <c r="AI91" s="95"/>
    </row>
    <row r="92" spans="1:35" ht="12.75">
      <c r="A92" s="141"/>
      <c r="B92" s="125" t="s">
        <v>43</v>
      </c>
      <c r="C92" s="126"/>
      <c r="D92" s="126"/>
      <c r="E92" s="126"/>
      <c r="F92" s="161"/>
      <c r="G92" s="165">
        <f>G90-G91</f>
        <v>0</v>
      </c>
      <c r="H92" s="163"/>
      <c r="I92" s="163"/>
      <c r="J92" s="164"/>
      <c r="K92" s="162">
        <f>K90-K91</f>
        <v>0</v>
      </c>
      <c r="L92" s="163"/>
      <c r="M92" s="163"/>
      <c r="N92" s="164"/>
      <c r="O92" s="165">
        <f>O90-O91</f>
        <v>0</v>
      </c>
      <c r="P92" s="163"/>
      <c r="Q92" s="163"/>
      <c r="R92" s="164"/>
      <c r="S92" s="162">
        <v>0</v>
      </c>
      <c r="T92" s="163"/>
      <c r="U92" s="163"/>
      <c r="V92" s="164"/>
      <c r="W92" s="153">
        <f t="shared" si="4"/>
        <v>0</v>
      </c>
      <c r="X92" s="154"/>
      <c r="Y92" s="154"/>
      <c r="Z92" s="155"/>
      <c r="AA92" s="132">
        <f>W86*$L$2/100-AI97</f>
        <v>184.58947368421053</v>
      </c>
      <c r="AB92" s="233"/>
      <c r="AC92" s="233"/>
      <c r="AD92" s="233"/>
      <c r="AE92" s="233"/>
      <c r="AF92" s="233"/>
      <c r="AG92" s="233"/>
      <c r="AH92" s="233"/>
      <c r="AI92" s="233"/>
    </row>
    <row r="93" spans="1:38" ht="12.75">
      <c r="A93" s="141"/>
      <c r="B93" s="125" t="s">
        <v>30</v>
      </c>
      <c r="C93" s="126"/>
      <c r="D93" s="126"/>
      <c r="E93" s="126"/>
      <c r="F93" s="161"/>
      <c r="G93" s="156">
        <f>G86*$L$2/100-AA97</f>
        <v>40.37894736842105</v>
      </c>
      <c r="H93" s="157"/>
      <c r="I93" s="157"/>
      <c r="J93" s="158"/>
      <c r="K93" s="156">
        <f>K86*$L$2/100-AC97</f>
        <v>50.473684210526315</v>
      </c>
      <c r="L93" s="157"/>
      <c r="M93" s="157"/>
      <c r="N93" s="158"/>
      <c r="O93" s="156">
        <f>O86*$L$2/100-AE97</f>
        <v>50.473684210526315</v>
      </c>
      <c r="P93" s="157"/>
      <c r="Q93" s="157"/>
      <c r="R93" s="158"/>
      <c r="S93" s="156">
        <f>S86*$L$2/100-AG97</f>
        <v>43.26315789473684</v>
      </c>
      <c r="T93" s="157"/>
      <c r="U93" s="157"/>
      <c r="V93" s="158"/>
      <c r="W93" s="153">
        <f t="shared" si="4"/>
        <v>184.58947368421053</v>
      </c>
      <c r="X93" s="154"/>
      <c r="Y93" s="154"/>
      <c r="Z93" s="155"/>
      <c r="AA93" s="101">
        <f>IF(G86&lt;G85,$T$5*(G86-G85)*$L$3/100,$T$5*G86/100)</f>
        <v>1.12</v>
      </c>
      <c r="AB93" s="101"/>
      <c r="AC93" s="101">
        <f>IF(K86&lt;K85,$T$5*(K86-K85)*$L$3/100,$T$5*K86/100)</f>
        <v>1.4</v>
      </c>
      <c r="AD93" s="101"/>
      <c r="AE93" s="101">
        <f>IF(O86&lt;O85,$T$5*(O86-O85)*$L$3/100,$T$5*O86/100)</f>
        <v>1.4</v>
      </c>
      <c r="AF93" s="101"/>
      <c r="AG93" s="101">
        <f>IF(S86&lt;S85,$T$5*(S86-S85)*$L$3/100,$T$5*S86/100)</f>
        <v>1.2</v>
      </c>
      <c r="AH93" s="101"/>
      <c r="AI93" s="97">
        <f>SUM(AA93:AH93)</f>
        <v>5.12</v>
      </c>
      <c r="AJ93" s="98"/>
      <c r="AK93" s="98"/>
      <c r="AL93" s="2" t="s">
        <v>277</v>
      </c>
    </row>
    <row r="94" spans="1:38" ht="12.75">
      <c r="A94" s="141"/>
      <c r="B94" s="125" t="s">
        <v>283</v>
      </c>
      <c r="C94" s="126"/>
      <c r="D94" s="126"/>
      <c r="E94" s="126"/>
      <c r="F94" s="161"/>
      <c r="G94" s="156">
        <f>G93-G90-G89+$AI96</f>
        <v>-8.421052631578949</v>
      </c>
      <c r="H94" s="157"/>
      <c r="I94" s="157"/>
      <c r="J94" s="158"/>
      <c r="K94" s="156">
        <f>K93-K90-K89+$AI96</f>
        <v>2.873684210526317</v>
      </c>
      <c r="L94" s="157"/>
      <c r="M94" s="157"/>
      <c r="N94" s="158"/>
      <c r="O94" s="156">
        <f>O93-O90-O89+$AI96</f>
        <v>2.873684210526317</v>
      </c>
      <c r="P94" s="157"/>
      <c r="Q94" s="157"/>
      <c r="R94" s="158"/>
      <c r="S94" s="156">
        <f>S93-S90-S89+$AI96</f>
        <v>-1.5368421052631547</v>
      </c>
      <c r="T94" s="157"/>
      <c r="U94" s="157"/>
      <c r="V94" s="158"/>
      <c r="W94" s="153">
        <f t="shared" si="4"/>
        <v>-4.210526315789469</v>
      </c>
      <c r="X94" s="154"/>
      <c r="Y94" s="154"/>
      <c r="Z94" s="159"/>
      <c r="AA94" s="101">
        <f>IF(G86&lt;G85,0,$T$3*G86/100)</f>
        <v>0</v>
      </c>
      <c r="AB94" s="101"/>
      <c r="AC94" s="101">
        <f>IF(K86&lt;K85,0,$T$3*K86/100)</f>
        <v>0</v>
      </c>
      <c r="AD94" s="101"/>
      <c r="AE94" s="101">
        <f>IF(O86&lt;O85,0,$T$3*O86/100)</f>
        <v>0</v>
      </c>
      <c r="AF94" s="101"/>
      <c r="AG94" s="101">
        <f>IF(S86&lt;S85,0,$T$3*S86/100)</f>
        <v>0</v>
      </c>
      <c r="AH94" s="101"/>
      <c r="AI94" s="97">
        <f>SUM(AA94:AH94)</f>
        <v>0</v>
      </c>
      <c r="AJ94" s="98"/>
      <c r="AK94" s="98"/>
      <c r="AL94" s="2" t="s">
        <v>248</v>
      </c>
    </row>
    <row r="95" spans="1:38" ht="12.75">
      <c r="A95" s="141"/>
      <c r="B95" s="125" t="s">
        <v>45</v>
      </c>
      <c r="C95" s="126"/>
      <c r="D95" s="126"/>
      <c r="E95" s="126"/>
      <c r="F95" s="161"/>
      <c r="G95" s="156">
        <f>G94+G92</f>
        <v>-8.421052631578949</v>
      </c>
      <c r="H95" s="157"/>
      <c r="I95" s="157"/>
      <c r="J95" s="158"/>
      <c r="K95" s="160">
        <f>K94+K92</f>
        <v>2.873684210526317</v>
      </c>
      <c r="L95" s="157"/>
      <c r="M95" s="157"/>
      <c r="N95" s="158"/>
      <c r="O95" s="156">
        <f>O94+O92</f>
        <v>2.873684210526317</v>
      </c>
      <c r="P95" s="157"/>
      <c r="Q95" s="157"/>
      <c r="R95" s="158"/>
      <c r="S95" s="160">
        <f>S94+S92</f>
        <v>-1.5368421052631547</v>
      </c>
      <c r="T95" s="157"/>
      <c r="U95" s="157"/>
      <c r="V95" s="158"/>
      <c r="W95" s="153">
        <f t="shared" si="4"/>
        <v>-4.210526315789469</v>
      </c>
      <c r="X95" s="154"/>
      <c r="Y95" s="154"/>
      <c r="Z95" s="155"/>
      <c r="AA95" s="101">
        <f>IF(G86&lt;G85,0,$T$4*G86/100)</f>
        <v>0</v>
      </c>
      <c r="AB95" s="101"/>
      <c r="AC95" s="101">
        <f>IF(K86&lt;K85,0,$T$4*K86/100)</f>
        <v>0</v>
      </c>
      <c r="AD95" s="101"/>
      <c r="AE95" s="101">
        <f>IF(O86&lt;O85,0,$T$4*O86/100)</f>
        <v>0</v>
      </c>
      <c r="AF95" s="101"/>
      <c r="AG95" s="101">
        <f>IF(S86&lt;S85,0,$T$4*S86/100)</f>
        <v>0</v>
      </c>
      <c r="AH95" s="101"/>
      <c r="AI95" s="97">
        <f>SUM(AA95:AH95)</f>
        <v>0</v>
      </c>
      <c r="AJ95" s="98"/>
      <c r="AK95" s="98"/>
      <c r="AL95" s="2" t="s">
        <v>281</v>
      </c>
    </row>
    <row r="96" spans="1:38" ht="12.75">
      <c r="A96" s="141"/>
      <c r="B96" s="194" t="s">
        <v>26</v>
      </c>
      <c r="C96" s="98"/>
      <c r="D96" s="98"/>
      <c r="E96" s="98"/>
      <c r="F96" s="195"/>
      <c r="G96" s="196">
        <f>$AG88/100*$AL$3</f>
        <v>0</v>
      </c>
      <c r="H96" s="197"/>
      <c r="I96" s="197"/>
      <c r="J96" s="198"/>
      <c r="K96" s="137">
        <f>$AG88/100*$AL$4</f>
        <v>0</v>
      </c>
      <c r="L96" s="138"/>
      <c r="M96" s="138"/>
      <c r="N96" s="139"/>
      <c r="O96" s="137">
        <f>$AG88/100*$AL$4</f>
        <v>0</v>
      </c>
      <c r="P96" s="138"/>
      <c r="Q96" s="138"/>
      <c r="R96" s="139"/>
      <c r="S96" s="137">
        <v>0</v>
      </c>
      <c r="T96" s="138"/>
      <c r="U96" s="138"/>
      <c r="V96" s="139"/>
      <c r="W96" s="153">
        <f t="shared" si="4"/>
        <v>0</v>
      </c>
      <c r="X96" s="154"/>
      <c r="Y96" s="154"/>
      <c r="Z96" s="155"/>
      <c r="AI96" s="224">
        <f>'ЦФУ Продажи'!Y$59</f>
        <v>0</v>
      </c>
      <c r="AJ96" s="224"/>
      <c r="AK96" s="224"/>
      <c r="AL96" s="2" t="s">
        <v>280</v>
      </c>
    </row>
    <row r="97" spans="1:38" ht="13.5" thickBot="1">
      <c r="A97" s="141"/>
      <c r="B97" s="191" t="s">
        <v>28</v>
      </c>
      <c r="C97" s="192"/>
      <c r="D97" s="192"/>
      <c r="E97" s="192"/>
      <c r="F97" s="193"/>
      <c r="G97" s="149">
        <f>IF(G96&lt;0,G89,G89+G96)</f>
        <v>28.8</v>
      </c>
      <c r="H97" s="147"/>
      <c r="I97" s="147"/>
      <c r="J97" s="148"/>
      <c r="K97" s="146">
        <f>IF(K96&lt;0,K89,K89+K96)</f>
        <v>27.599999999999998</v>
      </c>
      <c r="L97" s="147"/>
      <c r="M97" s="147"/>
      <c r="N97" s="148"/>
      <c r="O97" s="149">
        <f>IF(O96&lt;0,O89,O89+O96)</f>
        <v>27.599999999999998</v>
      </c>
      <c r="P97" s="147"/>
      <c r="Q97" s="147"/>
      <c r="R97" s="148"/>
      <c r="S97" s="146">
        <f>IF(S96&lt;0,S89,S89+S96)</f>
        <v>24.799999999999997</v>
      </c>
      <c r="T97" s="147"/>
      <c r="U97" s="147"/>
      <c r="V97" s="148"/>
      <c r="W97" s="150">
        <f t="shared" si="4"/>
        <v>108.8</v>
      </c>
      <c r="X97" s="151"/>
      <c r="Y97" s="151"/>
      <c r="Z97" s="152"/>
      <c r="AA97" s="101">
        <f>IF($AI93&gt;0,IF(AA93&gt;=0,0,G86*($T$2+$T$3+$T$5)/100-AA93),IF(G86&lt;G85,G86*($T$2+$T$3+$T$5)/100,AA93))</f>
        <v>0</v>
      </c>
      <c r="AB97" s="101"/>
      <c r="AC97" s="101">
        <f>IF($AI93&gt;=0,IF(AC93&gt;=0,0,K86*($T$2+$T$3+$T$4+$T$5)/100-AC93),IF(AC93&lt;0,K86*($T$2+$T$3+$T$4+$T$5)/100,AC93))</f>
        <v>0</v>
      </c>
      <c r="AD97" s="101"/>
      <c r="AE97" s="101">
        <f>IF($AI93&gt;=0,IF(AE93&gt;=0,0,O86*($T$2+$T$3+$T$4+$T$5)/100-AE93),IF(AE93&lt;0,O86*($T$2+$T$3+$T$4+$T$5)/100,AE93))</f>
        <v>0</v>
      </c>
      <c r="AF97" s="101"/>
      <c r="AG97" s="101">
        <f>IF($AI93&gt;=0,IF(AG93&gt;=0,0,S86*($T$2+$T$3+$T$4+$T$5)/100-AG93),IF(AG93&lt;0,S86*($T$2+$T$3+$T$4+$T$5)/100,AG93))</f>
        <v>0</v>
      </c>
      <c r="AH97" s="101"/>
      <c r="AI97" s="97">
        <f>SUM(AA97:AH97)</f>
        <v>0</v>
      </c>
      <c r="AJ97" s="98"/>
      <c r="AK97" s="98"/>
      <c r="AL97" s="2" t="s">
        <v>218</v>
      </c>
    </row>
    <row r="98" spans="1:35" ht="12.75" customHeight="1">
      <c r="A98" s="140" t="s">
        <v>68</v>
      </c>
      <c r="B98" s="93" t="s">
        <v>23</v>
      </c>
      <c r="C98" s="94"/>
      <c r="D98" s="94"/>
      <c r="E98" s="94"/>
      <c r="F98" s="199"/>
      <c r="G98" s="185">
        <v>1120</v>
      </c>
      <c r="H98" s="183"/>
      <c r="I98" s="183"/>
      <c r="J98" s="184"/>
      <c r="K98" s="182">
        <v>1400</v>
      </c>
      <c r="L98" s="183"/>
      <c r="M98" s="183"/>
      <c r="N98" s="184"/>
      <c r="O98" s="185">
        <v>1400</v>
      </c>
      <c r="P98" s="183"/>
      <c r="Q98" s="183"/>
      <c r="R98" s="184"/>
      <c r="S98" s="182">
        <v>1400</v>
      </c>
      <c r="T98" s="183"/>
      <c r="U98" s="183"/>
      <c r="V98" s="184"/>
      <c r="W98" s="170">
        <f t="shared" si="4"/>
        <v>5320</v>
      </c>
      <c r="X98" s="171"/>
      <c r="Y98" s="171"/>
      <c r="Z98" s="172"/>
      <c r="AA98" s="93" t="s">
        <v>53</v>
      </c>
      <c r="AB98" s="94"/>
      <c r="AC98" s="94"/>
      <c r="AD98" s="94"/>
      <c r="AE98" s="94"/>
      <c r="AF98" s="94"/>
      <c r="AG98" s="173">
        <f>(W103+$N$2*AG104)/W98*100+$Q$2+$T$2+$T$3+$T$5</f>
        <v>3.6052631578947367</v>
      </c>
      <c r="AH98" s="174"/>
      <c r="AI98" s="175"/>
    </row>
    <row r="99" spans="1:36" ht="12.75">
      <c r="A99" s="141"/>
      <c r="B99" s="125" t="s">
        <v>24</v>
      </c>
      <c r="C99" s="126"/>
      <c r="D99" s="126"/>
      <c r="E99" s="126"/>
      <c r="F99" s="161"/>
      <c r="G99" s="179">
        <v>1120</v>
      </c>
      <c r="H99" s="177"/>
      <c r="I99" s="177"/>
      <c r="J99" s="178"/>
      <c r="K99" s="176">
        <v>1400</v>
      </c>
      <c r="L99" s="177"/>
      <c r="M99" s="177"/>
      <c r="N99" s="178"/>
      <c r="O99" s="179">
        <v>1400</v>
      </c>
      <c r="P99" s="177"/>
      <c r="Q99" s="177"/>
      <c r="R99" s="178"/>
      <c r="S99" s="176">
        <v>1400</v>
      </c>
      <c r="T99" s="177"/>
      <c r="U99" s="177"/>
      <c r="V99" s="178"/>
      <c r="W99" s="153">
        <f t="shared" si="4"/>
        <v>5320</v>
      </c>
      <c r="X99" s="154"/>
      <c r="Y99" s="154"/>
      <c r="Z99" s="155"/>
      <c r="AA99" s="125" t="s">
        <v>54</v>
      </c>
      <c r="AB99" s="126"/>
      <c r="AC99" s="126"/>
      <c r="AD99" s="126"/>
      <c r="AE99" s="126"/>
      <c r="AF99" s="126"/>
      <c r="AG99" s="180">
        <f>(AG98-$L$2)*W98/100</f>
        <v>0</v>
      </c>
      <c r="AH99" s="180"/>
      <c r="AI99" s="181"/>
      <c r="AJ99" s="2" t="s">
        <v>284</v>
      </c>
    </row>
    <row r="100" spans="1:43" ht="12.75">
      <c r="A100" s="141"/>
      <c r="B100" s="125" t="s">
        <v>29</v>
      </c>
      <c r="C100" s="126"/>
      <c r="D100" s="126"/>
      <c r="E100" s="126"/>
      <c r="F100" s="161"/>
      <c r="G100" s="156">
        <f>IF(G98&lt;=G99,$N$2+G99/100*($Q$2+$T$2)+$AI107/$AG104+$AI109+IF(AI106&gt;0,AI106,0),$N$2+G99/100*$Q$2+$AI107/$AG104+$AI109+IF(AI106&gt;0,AI106,0))</f>
        <v>29</v>
      </c>
      <c r="H100" s="157"/>
      <c r="I100" s="157"/>
      <c r="J100" s="158"/>
      <c r="K100" s="156">
        <f>IF(K98&lt;=K99,$N$2+K99/100*($Q$2+$T$2)+$AI107/$AG104+$AI109,$N$2+K99/100*$Q$2+$AI107/$AG104+$AI109)</f>
        <v>27.599999999999998</v>
      </c>
      <c r="L100" s="157"/>
      <c r="M100" s="157"/>
      <c r="N100" s="158"/>
      <c r="O100" s="156">
        <f>IF(O98&lt;=O99,$N$2+O99/100*($Q$2+$T$2)+$AI107/$AG104+$AI109,$N$2+O99/100*$Q$2+$AI107/$AG104+$AI109)</f>
        <v>27.599999999999998</v>
      </c>
      <c r="P100" s="157"/>
      <c r="Q100" s="157"/>
      <c r="R100" s="158"/>
      <c r="S100" s="156">
        <f>IF(S98&lt;=S99,$N$2+S99/100*($Q$2+$T$2)+$AI107/$AG104+$AI109,$N$2+S99/100*$Q$2+$AI107/$AG104+$AI109)</f>
        <v>27.599999999999998</v>
      </c>
      <c r="T100" s="157"/>
      <c r="U100" s="157"/>
      <c r="V100" s="158"/>
      <c r="W100" s="153">
        <f t="shared" si="4"/>
        <v>111.79999999999998</v>
      </c>
      <c r="X100" s="154"/>
      <c r="Y100" s="154"/>
      <c r="Z100" s="155"/>
      <c r="AA100" s="205" t="s">
        <v>55</v>
      </c>
      <c r="AB100" s="126"/>
      <c r="AC100" s="126"/>
      <c r="AD100" s="126"/>
      <c r="AE100" s="126"/>
      <c r="AF100" s="126"/>
      <c r="AG100" s="122">
        <f>SUM(AJ101:AQ101)+AG99</f>
        <v>0</v>
      </c>
      <c r="AH100" s="123"/>
      <c r="AI100" s="124"/>
      <c r="AJ100" s="225">
        <f>$N$2+G98*($Q$2+$T$2+$T$3/$AG104)/100+$T$5*$W98/100</f>
        <v>29</v>
      </c>
      <c r="AK100" s="226"/>
      <c r="AL100" s="225">
        <f>$N$2+K98*($Q$2+$T$2+$T$3/$AG104)/100</f>
        <v>27.599999999999998</v>
      </c>
      <c r="AM100" s="226"/>
      <c r="AN100" s="225">
        <f>$N$2+O98*($Q$2+$T$2+$T$3/$AG104)/100</f>
        <v>27.599999999999998</v>
      </c>
      <c r="AO100" s="226"/>
      <c r="AP100" s="225">
        <f>$N$2+S98*($Q$2+$T$2+$T$3/$AG104)/100</f>
        <v>27.599999999999998</v>
      </c>
      <c r="AQ100" s="226"/>
    </row>
    <row r="101" spans="1:43" ht="12.75">
      <c r="A101" s="141"/>
      <c r="B101" s="125" t="s">
        <v>10</v>
      </c>
      <c r="C101" s="126"/>
      <c r="D101" s="126"/>
      <c r="E101" s="126"/>
      <c r="F101" s="161"/>
      <c r="G101" s="169">
        <v>20</v>
      </c>
      <c r="H101" s="167"/>
      <c r="I101" s="167"/>
      <c r="J101" s="168"/>
      <c r="K101" s="166">
        <v>8</v>
      </c>
      <c r="L101" s="167"/>
      <c r="M101" s="167"/>
      <c r="N101" s="168"/>
      <c r="O101" s="169">
        <v>8</v>
      </c>
      <c r="P101" s="167"/>
      <c r="Q101" s="167"/>
      <c r="R101" s="168"/>
      <c r="S101" s="166">
        <v>0</v>
      </c>
      <c r="T101" s="167"/>
      <c r="U101" s="167"/>
      <c r="V101" s="168"/>
      <c r="W101" s="153">
        <f t="shared" si="4"/>
        <v>36</v>
      </c>
      <c r="X101" s="154"/>
      <c r="Y101" s="154"/>
      <c r="Z101" s="155"/>
      <c r="AA101" s="205" t="s">
        <v>56</v>
      </c>
      <c r="AB101" s="126"/>
      <c r="AC101" s="126"/>
      <c r="AD101" s="126"/>
      <c r="AE101" s="126"/>
      <c r="AF101" s="126"/>
      <c r="AG101" s="134">
        <f>W108+AG100</f>
        <v>3.552713678800501E-15</v>
      </c>
      <c r="AH101" s="134"/>
      <c r="AI101" s="135"/>
      <c r="AJ101" s="225">
        <f>IF(AJ100&gt;G101,0,G101-AJ100)</f>
        <v>0</v>
      </c>
      <c r="AK101" s="226"/>
      <c r="AL101" s="225">
        <f>IF(AL100&gt;K101,0,K101-AL100)</f>
        <v>0</v>
      </c>
      <c r="AM101" s="226"/>
      <c r="AN101" s="225">
        <f>IF(AN100&gt;O101,0,O101-AN100)</f>
        <v>0</v>
      </c>
      <c r="AO101" s="226"/>
      <c r="AP101" s="225">
        <f>IF(AP100&gt;S101,0,S101-AP100)</f>
        <v>0</v>
      </c>
      <c r="AQ101" s="226"/>
    </row>
    <row r="102" spans="1:35" ht="13.5" thickBot="1">
      <c r="A102" s="141"/>
      <c r="B102" s="125" t="s">
        <v>58</v>
      </c>
      <c r="C102" s="126"/>
      <c r="D102" s="126"/>
      <c r="E102" s="126"/>
      <c r="F102" s="161"/>
      <c r="G102" s="156">
        <f>IF(G100&lt;G101,G101,G100)</f>
        <v>29</v>
      </c>
      <c r="H102" s="157"/>
      <c r="I102" s="157"/>
      <c r="J102" s="158"/>
      <c r="K102" s="160">
        <f>IF(K100&lt;K101,K101,K100)</f>
        <v>27.599999999999998</v>
      </c>
      <c r="L102" s="157"/>
      <c r="M102" s="157"/>
      <c r="N102" s="158"/>
      <c r="O102" s="156">
        <f>IF(O100&lt;O101,O101,O100)</f>
        <v>27.599999999999998</v>
      </c>
      <c r="P102" s="157"/>
      <c r="Q102" s="157"/>
      <c r="R102" s="158"/>
      <c r="S102" s="160">
        <f>IF(S100&lt;S101,S101,S100)</f>
        <v>27.599999999999998</v>
      </c>
      <c r="T102" s="157"/>
      <c r="U102" s="157"/>
      <c r="V102" s="158"/>
      <c r="W102" s="153">
        <f t="shared" si="4"/>
        <v>111.79999999999998</v>
      </c>
      <c r="X102" s="154"/>
      <c r="Y102" s="154"/>
      <c r="Z102" s="155"/>
      <c r="AA102" s="232" t="s">
        <v>57</v>
      </c>
      <c r="AB102" s="90"/>
      <c r="AC102" s="90"/>
      <c r="AD102" s="90"/>
      <c r="AE102" s="90"/>
      <c r="AF102" s="90"/>
      <c r="AG102" s="91">
        <f>-AG100+AG101-W109</f>
        <v>3.552713678800501E-15</v>
      </c>
      <c r="AH102" s="91"/>
      <c r="AI102" s="85"/>
    </row>
    <row r="103" spans="1:35" ht="13.5" thickBot="1">
      <c r="A103" s="141"/>
      <c r="B103" s="125" t="s">
        <v>41</v>
      </c>
      <c r="C103" s="126"/>
      <c r="D103" s="126"/>
      <c r="E103" s="126"/>
      <c r="F103" s="161"/>
      <c r="G103" s="156">
        <v>20</v>
      </c>
      <c r="H103" s="157"/>
      <c r="I103" s="157"/>
      <c r="J103" s="158"/>
      <c r="K103" s="160">
        <v>20</v>
      </c>
      <c r="L103" s="157"/>
      <c r="M103" s="157"/>
      <c r="N103" s="158"/>
      <c r="O103" s="156">
        <v>20</v>
      </c>
      <c r="P103" s="157"/>
      <c r="Q103" s="157"/>
      <c r="R103" s="158"/>
      <c r="S103" s="160">
        <v>20</v>
      </c>
      <c r="T103" s="157"/>
      <c r="U103" s="157"/>
      <c r="V103" s="158"/>
      <c r="W103" s="153">
        <f t="shared" si="4"/>
        <v>80</v>
      </c>
      <c r="X103" s="154"/>
      <c r="Y103" s="154"/>
      <c r="Z103" s="155"/>
      <c r="AA103" s="230" t="s">
        <v>59</v>
      </c>
      <c r="AB103" s="231"/>
      <c r="AC103" s="231"/>
      <c r="AD103" s="231"/>
      <c r="AE103" s="231"/>
      <c r="AF103" s="231"/>
      <c r="AG103" s="88">
        <f>AG100+AG102</f>
        <v>3.552713678800501E-15</v>
      </c>
      <c r="AH103" s="89"/>
      <c r="AI103" s="84"/>
    </row>
    <row r="104" spans="1:35" ht="12.75">
      <c r="A104" s="141"/>
      <c r="B104" s="125" t="s">
        <v>42</v>
      </c>
      <c r="C104" s="126"/>
      <c r="D104" s="126"/>
      <c r="E104" s="126"/>
      <c r="F104" s="161"/>
      <c r="G104" s="169">
        <v>20</v>
      </c>
      <c r="H104" s="167"/>
      <c r="I104" s="167"/>
      <c r="J104" s="168"/>
      <c r="K104" s="166">
        <v>20</v>
      </c>
      <c r="L104" s="167"/>
      <c r="M104" s="167"/>
      <c r="N104" s="168"/>
      <c r="O104" s="169">
        <v>20</v>
      </c>
      <c r="P104" s="167"/>
      <c r="Q104" s="167"/>
      <c r="R104" s="168"/>
      <c r="S104" s="166">
        <v>20</v>
      </c>
      <c r="T104" s="167"/>
      <c r="U104" s="167"/>
      <c r="V104" s="168"/>
      <c r="W104" s="153">
        <f t="shared" si="4"/>
        <v>80</v>
      </c>
      <c r="X104" s="154"/>
      <c r="Y104" s="154"/>
      <c r="Z104" s="155"/>
      <c r="AA104" s="228" t="s">
        <v>279</v>
      </c>
      <c r="AB104" s="229"/>
      <c r="AC104" s="229"/>
      <c r="AD104" s="229"/>
      <c r="AE104" s="229"/>
      <c r="AF104" s="229"/>
      <c r="AG104" s="95">
        <v>4</v>
      </c>
      <c r="AH104" s="95"/>
      <c r="AI104" s="95"/>
    </row>
    <row r="105" spans="1:35" ht="12.75">
      <c r="A105" s="141"/>
      <c r="B105" s="125" t="s">
        <v>43</v>
      </c>
      <c r="C105" s="126"/>
      <c r="D105" s="126"/>
      <c r="E105" s="126"/>
      <c r="F105" s="161"/>
      <c r="G105" s="165">
        <f>G103-G104</f>
        <v>0</v>
      </c>
      <c r="H105" s="163"/>
      <c r="I105" s="163"/>
      <c r="J105" s="164"/>
      <c r="K105" s="162">
        <f>K103-K104</f>
        <v>0</v>
      </c>
      <c r="L105" s="163"/>
      <c r="M105" s="163"/>
      <c r="N105" s="164"/>
      <c r="O105" s="165">
        <f>O103-O104</f>
        <v>0</v>
      </c>
      <c r="P105" s="163"/>
      <c r="Q105" s="163"/>
      <c r="R105" s="164"/>
      <c r="S105" s="162">
        <v>0</v>
      </c>
      <c r="T105" s="163"/>
      <c r="U105" s="163"/>
      <c r="V105" s="164"/>
      <c r="W105" s="153">
        <f t="shared" si="4"/>
        <v>0</v>
      </c>
      <c r="X105" s="154"/>
      <c r="Y105" s="154"/>
      <c r="Z105" s="155"/>
      <c r="AA105" s="132">
        <f>W99*$L$2/100-AI110</f>
        <v>191.8</v>
      </c>
      <c r="AB105" s="233"/>
      <c r="AC105" s="233"/>
      <c r="AD105" s="233"/>
      <c r="AE105" s="233"/>
      <c r="AF105" s="233"/>
      <c r="AG105" s="233"/>
      <c r="AH105" s="233"/>
      <c r="AI105" s="233"/>
    </row>
    <row r="106" spans="1:38" ht="12.75">
      <c r="A106" s="141"/>
      <c r="B106" s="125" t="s">
        <v>30</v>
      </c>
      <c r="C106" s="126"/>
      <c r="D106" s="126"/>
      <c r="E106" s="126"/>
      <c r="F106" s="161"/>
      <c r="G106" s="156">
        <f>G99*$L$2/100-AA110</f>
        <v>40.37894736842105</v>
      </c>
      <c r="H106" s="157"/>
      <c r="I106" s="157"/>
      <c r="J106" s="158"/>
      <c r="K106" s="156">
        <f>K99*$L$2/100-AC110</f>
        <v>50.473684210526315</v>
      </c>
      <c r="L106" s="157"/>
      <c r="M106" s="157"/>
      <c r="N106" s="158"/>
      <c r="O106" s="156">
        <f>O99*$L$2/100-AE110</f>
        <v>50.473684210526315</v>
      </c>
      <c r="P106" s="157"/>
      <c r="Q106" s="157"/>
      <c r="R106" s="158"/>
      <c r="S106" s="156">
        <f>S99*$L$2/100-AG110</f>
        <v>50.473684210526315</v>
      </c>
      <c r="T106" s="157"/>
      <c r="U106" s="157"/>
      <c r="V106" s="158"/>
      <c r="W106" s="153">
        <f t="shared" si="4"/>
        <v>191.8</v>
      </c>
      <c r="X106" s="154"/>
      <c r="Y106" s="154"/>
      <c r="Z106" s="155"/>
      <c r="AA106" s="101">
        <f>IF(G99&lt;G98,$T$5*(G99-G98)*$L$3/100,$T$5*G99/100)</f>
        <v>1.12</v>
      </c>
      <c r="AB106" s="101"/>
      <c r="AC106" s="101">
        <f>IF(K99&lt;K98,$T$5*(K99-K98)*$L$3/100,$T$5*K99/100)</f>
        <v>1.4</v>
      </c>
      <c r="AD106" s="101"/>
      <c r="AE106" s="101">
        <f>IF(O99&lt;O98,$T$5*(O99-O98)*$L$3/100,$T$5*O99/100)</f>
        <v>1.4</v>
      </c>
      <c r="AF106" s="101"/>
      <c r="AG106" s="101">
        <f>IF(S99&lt;S98,$T$5*(S99-S98)*$L$3/100,$T$5*S99/100)</f>
        <v>1.4</v>
      </c>
      <c r="AH106" s="101"/>
      <c r="AI106" s="97">
        <f>SUM(AA106:AH106)</f>
        <v>5.32</v>
      </c>
      <c r="AJ106" s="98"/>
      <c r="AK106" s="98"/>
      <c r="AL106" s="2" t="s">
        <v>277</v>
      </c>
    </row>
    <row r="107" spans="1:38" ht="12.75">
      <c r="A107" s="141"/>
      <c r="B107" s="125" t="s">
        <v>283</v>
      </c>
      <c r="C107" s="126"/>
      <c r="D107" s="126"/>
      <c r="E107" s="126"/>
      <c r="F107" s="161"/>
      <c r="G107" s="156">
        <f>G106-G103-G102+$AI109</f>
        <v>-8.621052631578948</v>
      </c>
      <c r="H107" s="157"/>
      <c r="I107" s="157"/>
      <c r="J107" s="158"/>
      <c r="K107" s="156">
        <f>K106-K103-K102+$AI109</f>
        <v>2.873684210526317</v>
      </c>
      <c r="L107" s="157"/>
      <c r="M107" s="157"/>
      <c r="N107" s="158"/>
      <c r="O107" s="156">
        <f>O106-O103-O102+$AI109</f>
        <v>2.873684210526317</v>
      </c>
      <c r="P107" s="157"/>
      <c r="Q107" s="157"/>
      <c r="R107" s="158"/>
      <c r="S107" s="156">
        <f>S106-S103-S102+$AI109</f>
        <v>2.873684210526317</v>
      </c>
      <c r="T107" s="157"/>
      <c r="U107" s="157"/>
      <c r="V107" s="158"/>
      <c r="W107" s="153">
        <f t="shared" si="4"/>
        <v>3.552713678800501E-15</v>
      </c>
      <c r="X107" s="154"/>
      <c r="Y107" s="154"/>
      <c r="Z107" s="159"/>
      <c r="AA107" s="101">
        <f>IF(G99&lt;G98,0,$T$3*G99/100)</f>
        <v>0</v>
      </c>
      <c r="AB107" s="101"/>
      <c r="AC107" s="101">
        <f>IF(K99&lt;K98,0,$T$3*K99/100)</f>
        <v>0</v>
      </c>
      <c r="AD107" s="101"/>
      <c r="AE107" s="101">
        <f>IF(O99&lt;O98,0,$T$3*O99/100)</f>
        <v>0</v>
      </c>
      <c r="AF107" s="101"/>
      <c r="AG107" s="101">
        <f>IF(S99&lt;S98,0,$T$3*S99/100)</f>
        <v>0</v>
      </c>
      <c r="AH107" s="101"/>
      <c r="AI107" s="97">
        <f>SUM(AA107:AH107)</f>
        <v>0</v>
      </c>
      <c r="AJ107" s="98"/>
      <c r="AK107" s="98"/>
      <c r="AL107" s="2" t="s">
        <v>248</v>
      </c>
    </row>
    <row r="108" spans="1:38" ht="12.75">
      <c r="A108" s="141"/>
      <c r="B108" s="125" t="s">
        <v>45</v>
      </c>
      <c r="C108" s="126"/>
      <c r="D108" s="126"/>
      <c r="E108" s="126"/>
      <c r="F108" s="161"/>
      <c r="G108" s="156">
        <f>G107+G105</f>
        <v>-8.621052631578948</v>
      </c>
      <c r="H108" s="157"/>
      <c r="I108" s="157"/>
      <c r="J108" s="158"/>
      <c r="K108" s="160">
        <f>K107+K105</f>
        <v>2.873684210526317</v>
      </c>
      <c r="L108" s="157"/>
      <c r="M108" s="157"/>
      <c r="N108" s="158"/>
      <c r="O108" s="156">
        <f>O107+O105</f>
        <v>2.873684210526317</v>
      </c>
      <c r="P108" s="157"/>
      <c r="Q108" s="157"/>
      <c r="R108" s="158"/>
      <c r="S108" s="160">
        <f>S107+S105</f>
        <v>2.873684210526317</v>
      </c>
      <c r="T108" s="157"/>
      <c r="U108" s="157"/>
      <c r="V108" s="158"/>
      <c r="W108" s="153">
        <f t="shared" si="4"/>
        <v>3.552713678800501E-15</v>
      </c>
      <c r="X108" s="154"/>
      <c r="Y108" s="154"/>
      <c r="Z108" s="155"/>
      <c r="AA108" s="101">
        <f>IF(G99&lt;G98,0,$T$4*G99/100)</f>
        <v>0</v>
      </c>
      <c r="AB108" s="101"/>
      <c r="AC108" s="101">
        <f>IF(K99&lt;K98,0,$T$4*K99/100)</f>
        <v>0</v>
      </c>
      <c r="AD108" s="101"/>
      <c r="AE108" s="101">
        <f>IF(O99&lt;O98,0,$T$4*O99/100)</f>
        <v>0</v>
      </c>
      <c r="AF108" s="101"/>
      <c r="AG108" s="101">
        <f>IF(S99&lt;S98,0,$T$4*S99/100)</f>
        <v>0</v>
      </c>
      <c r="AH108" s="101"/>
      <c r="AI108" s="97">
        <f>SUM(AA108:AH108)</f>
        <v>0</v>
      </c>
      <c r="AJ108" s="98"/>
      <c r="AK108" s="98"/>
      <c r="AL108" s="2" t="s">
        <v>281</v>
      </c>
    </row>
    <row r="109" spans="1:38" ht="12.75">
      <c r="A109" s="141"/>
      <c r="B109" s="194" t="s">
        <v>26</v>
      </c>
      <c r="C109" s="98"/>
      <c r="D109" s="98"/>
      <c r="E109" s="98"/>
      <c r="F109" s="195"/>
      <c r="G109" s="196">
        <f>$AG101/100*$AL$3</f>
        <v>0</v>
      </c>
      <c r="H109" s="197"/>
      <c r="I109" s="197"/>
      <c r="J109" s="198"/>
      <c r="K109" s="137">
        <f>$AG101/100*$AL$4</f>
        <v>0</v>
      </c>
      <c r="L109" s="138"/>
      <c r="M109" s="138"/>
      <c r="N109" s="139"/>
      <c r="O109" s="137">
        <f>$AG101/100*$AL$4</f>
        <v>0</v>
      </c>
      <c r="P109" s="138"/>
      <c r="Q109" s="138"/>
      <c r="R109" s="139"/>
      <c r="S109" s="137">
        <v>0</v>
      </c>
      <c r="T109" s="138"/>
      <c r="U109" s="138"/>
      <c r="V109" s="139"/>
      <c r="W109" s="153">
        <f t="shared" si="4"/>
        <v>0</v>
      </c>
      <c r="X109" s="154"/>
      <c r="Y109" s="154"/>
      <c r="Z109" s="155"/>
      <c r="AI109" s="224">
        <f>'ЦФУ Продажи'!AB$59</f>
        <v>0</v>
      </c>
      <c r="AJ109" s="224"/>
      <c r="AK109" s="224"/>
      <c r="AL109" s="2" t="s">
        <v>280</v>
      </c>
    </row>
    <row r="110" spans="1:38" ht="13.5" thickBot="1">
      <c r="A110" s="142"/>
      <c r="B110" s="191" t="s">
        <v>28</v>
      </c>
      <c r="C110" s="192"/>
      <c r="D110" s="192"/>
      <c r="E110" s="192"/>
      <c r="F110" s="193"/>
      <c r="G110" s="149">
        <f>IF(G109&lt;0,G102,G102+G109)</f>
        <v>29</v>
      </c>
      <c r="H110" s="147"/>
      <c r="I110" s="147"/>
      <c r="J110" s="148"/>
      <c r="K110" s="146">
        <f>IF(K109&lt;0,K102,K102+K109)</f>
        <v>27.599999999999998</v>
      </c>
      <c r="L110" s="147"/>
      <c r="M110" s="147"/>
      <c r="N110" s="148"/>
      <c r="O110" s="149">
        <f>IF(O109&lt;0,O102,O102+O109)</f>
        <v>27.599999999999998</v>
      </c>
      <c r="P110" s="147"/>
      <c r="Q110" s="147"/>
      <c r="R110" s="148"/>
      <c r="S110" s="146">
        <f>IF(S109&lt;0,S102,S102+S109)</f>
        <v>27.599999999999998</v>
      </c>
      <c r="T110" s="147"/>
      <c r="U110" s="147"/>
      <c r="V110" s="148"/>
      <c r="W110" s="150">
        <f t="shared" si="4"/>
        <v>111.79999999999998</v>
      </c>
      <c r="X110" s="151"/>
      <c r="Y110" s="151"/>
      <c r="Z110" s="152"/>
      <c r="AA110" s="101">
        <f>IF($AI106&gt;0,IF(AA106&gt;=0,0,G99*($T$2+$T$3+$T$5)/100-AA106),IF(G99&lt;G98,G99*($T$2+$T$3+$T$5)/100,AA106))</f>
        <v>0</v>
      </c>
      <c r="AB110" s="101"/>
      <c r="AC110" s="101">
        <f>IF($AI106&gt;=0,IF(AC106&gt;=0,0,K99*($T$2+$T$3+$T$4+$T$5)/100-AC106),IF(AC106&lt;0,K99*($T$2+$T$3+$T$4+$T$5)/100,AC106))</f>
        <v>0</v>
      </c>
      <c r="AD110" s="101"/>
      <c r="AE110" s="101">
        <f>IF($AI106&gt;=0,IF(AE106&gt;=0,0,O99*($T$2+$T$3+$T$4+$T$5)/100-AE106),IF(AE106&lt;0,O99*($T$2+$T$3+$T$4+$T$5)/100,AE106))</f>
        <v>0</v>
      </c>
      <c r="AF110" s="101"/>
      <c r="AG110" s="101">
        <f>IF($AI106&gt;=0,IF(AG106&gt;=0,0,S99*($T$2+$T$3+$T$4+$T$5)/100-AG106),IF(AG106&lt;0,S99*($T$2+$T$3+$T$4+$T$5)/100,AG106))</f>
        <v>0</v>
      </c>
      <c r="AH110" s="101"/>
      <c r="AI110" s="97">
        <f>SUM(AA110:AH110)</f>
        <v>0</v>
      </c>
      <c r="AJ110" s="98"/>
      <c r="AK110" s="98"/>
      <c r="AL110" s="2" t="s">
        <v>218</v>
      </c>
    </row>
    <row r="111" spans="1:35" ht="12.75" customHeight="1">
      <c r="A111" s="143" t="s">
        <v>69</v>
      </c>
      <c r="B111" s="93" t="s">
        <v>23</v>
      </c>
      <c r="C111" s="94"/>
      <c r="D111" s="94"/>
      <c r="E111" s="94"/>
      <c r="F111" s="199"/>
      <c r="G111" s="185">
        <v>1120</v>
      </c>
      <c r="H111" s="183"/>
      <c r="I111" s="183"/>
      <c r="J111" s="184"/>
      <c r="K111" s="182">
        <v>1400</v>
      </c>
      <c r="L111" s="183"/>
      <c r="M111" s="183"/>
      <c r="N111" s="184"/>
      <c r="O111" s="185">
        <v>1400</v>
      </c>
      <c r="P111" s="183"/>
      <c r="Q111" s="183"/>
      <c r="R111" s="184"/>
      <c r="S111" s="182">
        <v>1400</v>
      </c>
      <c r="T111" s="183"/>
      <c r="U111" s="183"/>
      <c r="V111" s="184"/>
      <c r="W111" s="170">
        <f aca="true" t="shared" si="5" ref="W111:W136">G111+K111+O111+S111</f>
        <v>5320</v>
      </c>
      <c r="X111" s="171"/>
      <c r="Y111" s="171"/>
      <c r="Z111" s="172"/>
      <c r="AA111" s="93" t="s">
        <v>53</v>
      </c>
      <c r="AB111" s="94"/>
      <c r="AC111" s="94"/>
      <c r="AD111" s="94"/>
      <c r="AE111" s="94"/>
      <c r="AF111" s="94"/>
      <c r="AG111" s="173">
        <f>(W116+$N$2*AG117)/W111*100+$Q$2+$T$2+$T$3+$T$5</f>
        <v>3.6052631578947367</v>
      </c>
      <c r="AH111" s="174"/>
      <c r="AI111" s="175"/>
    </row>
    <row r="112" spans="1:36" ht="12.75">
      <c r="A112" s="144"/>
      <c r="B112" s="125" t="s">
        <v>24</v>
      </c>
      <c r="C112" s="126"/>
      <c r="D112" s="126"/>
      <c r="E112" s="126"/>
      <c r="F112" s="161"/>
      <c r="G112" s="179">
        <v>1120</v>
      </c>
      <c r="H112" s="177"/>
      <c r="I112" s="177"/>
      <c r="J112" s="178"/>
      <c r="K112" s="176">
        <v>1400</v>
      </c>
      <c r="L112" s="177"/>
      <c r="M112" s="177"/>
      <c r="N112" s="178"/>
      <c r="O112" s="179">
        <v>1400</v>
      </c>
      <c r="P112" s="177"/>
      <c r="Q112" s="177"/>
      <c r="R112" s="178"/>
      <c r="S112" s="176">
        <v>1400</v>
      </c>
      <c r="T112" s="177"/>
      <c r="U112" s="177"/>
      <c r="V112" s="178"/>
      <c r="W112" s="153">
        <f t="shared" si="5"/>
        <v>5320</v>
      </c>
      <c r="X112" s="154"/>
      <c r="Y112" s="154"/>
      <c r="Z112" s="155"/>
      <c r="AA112" s="125" t="s">
        <v>54</v>
      </c>
      <c r="AB112" s="126"/>
      <c r="AC112" s="126"/>
      <c r="AD112" s="126"/>
      <c r="AE112" s="126"/>
      <c r="AF112" s="126"/>
      <c r="AG112" s="180">
        <f>(AG111-$L$2)*W111/100</f>
        <v>0</v>
      </c>
      <c r="AH112" s="180"/>
      <c r="AI112" s="181"/>
      <c r="AJ112" s="2" t="s">
        <v>284</v>
      </c>
    </row>
    <row r="113" spans="1:43" ht="12.75">
      <c r="A113" s="144"/>
      <c r="B113" s="125" t="s">
        <v>29</v>
      </c>
      <c r="C113" s="126"/>
      <c r="D113" s="126"/>
      <c r="E113" s="126"/>
      <c r="F113" s="161"/>
      <c r="G113" s="156">
        <f>IF(G111&lt;=G112,$N$2+G112/100*($Q$2+$T$2)+$AI120/$AG117+$AI122+IF(AI119&gt;0,AI119,0),$N$2+G112/100*$Q$2+$AI120/$AG117+$AI122+IF(AI119&gt;0,AI119,0))</f>
        <v>29</v>
      </c>
      <c r="H113" s="157"/>
      <c r="I113" s="157"/>
      <c r="J113" s="158"/>
      <c r="K113" s="156">
        <f>IF(K111&lt;=K112,$N$2+K112/100*($Q$2+$T$2)+$AI120/$AG117+$AI122,$N$2+K112/100*$Q$2+$AI120/$AG117+$AI122)</f>
        <v>27.599999999999998</v>
      </c>
      <c r="L113" s="157"/>
      <c r="M113" s="157"/>
      <c r="N113" s="158"/>
      <c r="O113" s="156">
        <f>IF(O111&lt;=O112,$N$2+O112/100*($Q$2+$T$2)+$AI120/$AG117+$AI122,$N$2+O112/100*$Q$2+$AI120/$AG117+$AI122)</f>
        <v>27.599999999999998</v>
      </c>
      <c r="P113" s="157"/>
      <c r="Q113" s="157"/>
      <c r="R113" s="158"/>
      <c r="S113" s="156">
        <f>IF(S111&lt;=S112,$N$2+S112/100*($Q$2+$T$2)+$AI120/$AG117+$AI122,$N$2+S112/100*$Q$2+$AI120/$AG117+$AI122)</f>
        <v>27.599999999999998</v>
      </c>
      <c r="T113" s="157"/>
      <c r="U113" s="157"/>
      <c r="V113" s="158"/>
      <c r="W113" s="153">
        <f t="shared" si="5"/>
        <v>111.79999999999998</v>
      </c>
      <c r="X113" s="154"/>
      <c r="Y113" s="154"/>
      <c r="Z113" s="155"/>
      <c r="AA113" s="205" t="s">
        <v>55</v>
      </c>
      <c r="AB113" s="126"/>
      <c r="AC113" s="126"/>
      <c r="AD113" s="126"/>
      <c r="AE113" s="126"/>
      <c r="AF113" s="126"/>
      <c r="AG113" s="122">
        <f>SUM(AJ114:AQ114)+AG112</f>
        <v>0</v>
      </c>
      <c r="AH113" s="123"/>
      <c r="AI113" s="124"/>
      <c r="AJ113" s="225">
        <f>$N$2+G111*($Q$2+$T$2+$T$3/$AG117)/100+$T$5*$W111/100</f>
        <v>29</v>
      </c>
      <c r="AK113" s="226"/>
      <c r="AL113" s="225">
        <f>$N$2+K111*($Q$2+$T$2+$T$3/$AG117)/100</f>
        <v>27.599999999999998</v>
      </c>
      <c r="AM113" s="226"/>
      <c r="AN113" s="225">
        <f>$N$2+O111*($Q$2+$T$2+$T$3/$AG117)/100</f>
        <v>27.599999999999998</v>
      </c>
      <c r="AO113" s="226"/>
      <c r="AP113" s="225">
        <f>$N$2+S111*($Q$2+$T$2+$T$3/$AG117)/100</f>
        <v>27.599999999999998</v>
      </c>
      <c r="AQ113" s="226"/>
    </row>
    <row r="114" spans="1:43" ht="12.75">
      <c r="A114" s="144"/>
      <c r="B114" s="125" t="s">
        <v>10</v>
      </c>
      <c r="C114" s="126"/>
      <c r="D114" s="126"/>
      <c r="E114" s="126"/>
      <c r="F114" s="161"/>
      <c r="G114" s="169">
        <v>20</v>
      </c>
      <c r="H114" s="167"/>
      <c r="I114" s="167"/>
      <c r="J114" s="168"/>
      <c r="K114" s="166">
        <v>8</v>
      </c>
      <c r="L114" s="167"/>
      <c r="M114" s="167"/>
      <c r="N114" s="168"/>
      <c r="O114" s="169">
        <v>8</v>
      </c>
      <c r="P114" s="167"/>
      <c r="Q114" s="167"/>
      <c r="R114" s="168"/>
      <c r="S114" s="166">
        <v>0</v>
      </c>
      <c r="T114" s="167"/>
      <c r="U114" s="167"/>
      <c r="V114" s="168"/>
      <c r="W114" s="153">
        <f t="shared" si="5"/>
        <v>36</v>
      </c>
      <c r="X114" s="154"/>
      <c r="Y114" s="154"/>
      <c r="Z114" s="155"/>
      <c r="AA114" s="205" t="s">
        <v>56</v>
      </c>
      <c r="AB114" s="126"/>
      <c r="AC114" s="126"/>
      <c r="AD114" s="126"/>
      <c r="AE114" s="126"/>
      <c r="AF114" s="126"/>
      <c r="AG114" s="134">
        <f>W121+AG113</f>
        <v>3.552713678800501E-15</v>
      </c>
      <c r="AH114" s="134"/>
      <c r="AI114" s="135"/>
      <c r="AJ114" s="225">
        <f>IF(AJ113&gt;G114,0,G114-AJ113)</f>
        <v>0</v>
      </c>
      <c r="AK114" s="226"/>
      <c r="AL114" s="225">
        <f>IF(AL113&gt;K114,0,K114-AL113)</f>
        <v>0</v>
      </c>
      <c r="AM114" s="226"/>
      <c r="AN114" s="225">
        <f>IF(AN113&gt;O114,0,O114-AN113)</f>
        <v>0</v>
      </c>
      <c r="AO114" s="226"/>
      <c r="AP114" s="225">
        <f>IF(AP113&gt;S114,0,S114-AP113)</f>
        <v>0</v>
      </c>
      <c r="AQ114" s="226"/>
    </row>
    <row r="115" spans="1:35" ht="13.5" thickBot="1">
      <c r="A115" s="144"/>
      <c r="B115" s="125" t="s">
        <v>58</v>
      </c>
      <c r="C115" s="126"/>
      <c r="D115" s="126"/>
      <c r="E115" s="126"/>
      <c r="F115" s="161"/>
      <c r="G115" s="156">
        <f>IF(G113&lt;G114,G114,G113)</f>
        <v>29</v>
      </c>
      <c r="H115" s="157"/>
      <c r="I115" s="157"/>
      <c r="J115" s="158"/>
      <c r="K115" s="160">
        <f>IF(K113&lt;K114,K114,K113)</f>
        <v>27.599999999999998</v>
      </c>
      <c r="L115" s="157"/>
      <c r="M115" s="157"/>
      <c r="N115" s="158"/>
      <c r="O115" s="156">
        <f>IF(O113&lt;O114,O114,O113)</f>
        <v>27.599999999999998</v>
      </c>
      <c r="P115" s="157"/>
      <c r="Q115" s="157"/>
      <c r="R115" s="158"/>
      <c r="S115" s="160">
        <f>IF(S113&lt;S114,S114,S113)</f>
        <v>27.599999999999998</v>
      </c>
      <c r="T115" s="157"/>
      <c r="U115" s="157"/>
      <c r="V115" s="158"/>
      <c r="W115" s="153">
        <f t="shared" si="5"/>
        <v>111.79999999999998</v>
      </c>
      <c r="X115" s="154"/>
      <c r="Y115" s="154"/>
      <c r="Z115" s="155"/>
      <c r="AA115" s="232" t="s">
        <v>57</v>
      </c>
      <c r="AB115" s="90"/>
      <c r="AC115" s="90"/>
      <c r="AD115" s="90"/>
      <c r="AE115" s="90"/>
      <c r="AF115" s="90"/>
      <c r="AG115" s="91">
        <f>-AG113+AG114-W122</f>
        <v>3.552713678800501E-15</v>
      </c>
      <c r="AH115" s="91"/>
      <c r="AI115" s="85"/>
    </row>
    <row r="116" spans="1:35" ht="13.5" thickBot="1">
      <c r="A116" s="144"/>
      <c r="B116" s="125" t="s">
        <v>41</v>
      </c>
      <c r="C116" s="126"/>
      <c r="D116" s="126"/>
      <c r="E116" s="126"/>
      <c r="F116" s="161"/>
      <c r="G116" s="156">
        <v>20</v>
      </c>
      <c r="H116" s="157"/>
      <c r="I116" s="157"/>
      <c r="J116" s="158"/>
      <c r="K116" s="160">
        <v>20</v>
      </c>
      <c r="L116" s="157"/>
      <c r="M116" s="157"/>
      <c r="N116" s="158"/>
      <c r="O116" s="156">
        <v>20</v>
      </c>
      <c r="P116" s="157"/>
      <c r="Q116" s="157"/>
      <c r="R116" s="158"/>
      <c r="S116" s="160">
        <v>20</v>
      </c>
      <c r="T116" s="157"/>
      <c r="U116" s="157"/>
      <c r="V116" s="158"/>
      <c r="W116" s="153">
        <f t="shared" si="5"/>
        <v>80</v>
      </c>
      <c r="X116" s="154"/>
      <c r="Y116" s="154"/>
      <c r="Z116" s="155"/>
      <c r="AA116" s="230" t="s">
        <v>59</v>
      </c>
      <c r="AB116" s="231"/>
      <c r="AC116" s="231"/>
      <c r="AD116" s="231"/>
      <c r="AE116" s="231"/>
      <c r="AF116" s="231"/>
      <c r="AG116" s="88">
        <f>AG113+AG115</f>
        <v>3.552713678800501E-15</v>
      </c>
      <c r="AH116" s="89"/>
      <c r="AI116" s="84"/>
    </row>
    <row r="117" spans="1:35" ht="12.75">
      <c r="A117" s="144"/>
      <c r="B117" s="125" t="s">
        <v>42</v>
      </c>
      <c r="C117" s="126"/>
      <c r="D117" s="126"/>
      <c r="E117" s="126"/>
      <c r="F117" s="161"/>
      <c r="G117" s="169">
        <v>20</v>
      </c>
      <c r="H117" s="167"/>
      <c r="I117" s="167"/>
      <c r="J117" s="168"/>
      <c r="K117" s="166">
        <v>20</v>
      </c>
      <c r="L117" s="167"/>
      <c r="M117" s="167"/>
      <c r="N117" s="168"/>
      <c r="O117" s="169">
        <v>20</v>
      </c>
      <c r="P117" s="167"/>
      <c r="Q117" s="167"/>
      <c r="R117" s="168"/>
      <c r="S117" s="166">
        <v>20</v>
      </c>
      <c r="T117" s="167"/>
      <c r="U117" s="167"/>
      <c r="V117" s="168"/>
      <c r="W117" s="153">
        <f t="shared" si="5"/>
        <v>80</v>
      </c>
      <c r="X117" s="154"/>
      <c r="Y117" s="154"/>
      <c r="Z117" s="155"/>
      <c r="AA117" s="228" t="s">
        <v>279</v>
      </c>
      <c r="AB117" s="229"/>
      <c r="AC117" s="229"/>
      <c r="AD117" s="229"/>
      <c r="AE117" s="229"/>
      <c r="AF117" s="229"/>
      <c r="AG117" s="95">
        <v>4</v>
      </c>
      <c r="AH117" s="95"/>
      <c r="AI117" s="95"/>
    </row>
    <row r="118" spans="1:35" ht="12.75">
      <c r="A118" s="144"/>
      <c r="B118" s="125" t="s">
        <v>43</v>
      </c>
      <c r="C118" s="126"/>
      <c r="D118" s="126"/>
      <c r="E118" s="126"/>
      <c r="F118" s="161"/>
      <c r="G118" s="165">
        <f>G116-G117</f>
        <v>0</v>
      </c>
      <c r="H118" s="163"/>
      <c r="I118" s="163"/>
      <c r="J118" s="164"/>
      <c r="K118" s="162">
        <f>K116-K117</f>
        <v>0</v>
      </c>
      <c r="L118" s="163"/>
      <c r="M118" s="163"/>
      <c r="N118" s="164"/>
      <c r="O118" s="165">
        <f>O116-O117</f>
        <v>0</v>
      </c>
      <c r="P118" s="163"/>
      <c r="Q118" s="163"/>
      <c r="R118" s="164"/>
      <c r="S118" s="162">
        <v>0</v>
      </c>
      <c r="T118" s="163"/>
      <c r="U118" s="163"/>
      <c r="V118" s="164"/>
      <c r="W118" s="153">
        <f t="shared" si="5"/>
        <v>0</v>
      </c>
      <c r="X118" s="154"/>
      <c r="Y118" s="154"/>
      <c r="Z118" s="155"/>
      <c r="AA118" s="132">
        <f>W112*$L$2/100-AI123</f>
        <v>191.8</v>
      </c>
      <c r="AB118" s="233"/>
      <c r="AC118" s="233"/>
      <c r="AD118" s="233"/>
      <c r="AE118" s="233"/>
      <c r="AF118" s="233"/>
      <c r="AG118" s="233"/>
      <c r="AH118" s="233"/>
      <c r="AI118" s="233"/>
    </row>
    <row r="119" spans="1:38" ht="12.75">
      <c r="A119" s="144"/>
      <c r="B119" s="125" t="s">
        <v>30</v>
      </c>
      <c r="C119" s="126"/>
      <c r="D119" s="126"/>
      <c r="E119" s="126"/>
      <c r="F119" s="161"/>
      <c r="G119" s="156">
        <f>G112*$L$2/100-AA123</f>
        <v>40.37894736842105</v>
      </c>
      <c r="H119" s="157"/>
      <c r="I119" s="157"/>
      <c r="J119" s="158"/>
      <c r="K119" s="156">
        <f>K112*$L$2/100-AC123</f>
        <v>50.473684210526315</v>
      </c>
      <c r="L119" s="157"/>
      <c r="M119" s="157"/>
      <c r="N119" s="158"/>
      <c r="O119" s="156">
        <f>O112*$L$2/100-AE123</f>
        <v>50.473684210526315</v>
      </c>
      <c r="P119" s="157"/>
      <c r="Q119" s="157"/>
      <c r="R119" s="158"/>
      <c r="S119" s="156">
        <f>S112*$L$2/100-AG123</f>
        <v>50.473684210526315</v>
      </c>
      <c r="T119" s="157"/>
      <c r="U119" s="157"/>
      <c r="V119" s="158"/>
      <c r="W119" s="153">
        <f t="shared" si="5"/>
        <v>191.8</v>
      </c>
      <c r="X119" s="154"/>
      <c r="Y119" s="154"/>
      <c r="Z119" s="155"/>
      <c r="AA119" s="101">
        <f>IF(G112&lt;G111,$T$5*(G112-G111)*$L$3/100,$T$5*G112/100)</f>
        <v>1.12</v>
      </c>
      <c r="AB119" s="101"/>
      <c r="AC119" s="101">
        <f>IF(K112&lt;K111,$T$5*(K112-K111)*$L$3/100,$T$5*K112/100)</f>
        <v>1.4</v>
      </c>
      <c r="AD119" s="101"/>
      <c r="AE119" s="101">
        <f>IF(O112&lt;O111,$T$5*(O112-O111)*$L$3/100,$T$5*O112/100)</f>
        <v>1.4</v>
      </c>
      <c r="AF119" s="101"/>
      <c r="AG119" s="101">
        <f>IF(S112&lt;S111,$T$5*(S112-S111)*$L$3/100,$T$5*S112/100)</f>
        <v>1.4</v>
      </c>
      <c r="AH119" s="101"/>
      <c r="AI119" s="97">
        <f>SUM(AA119:AH119)</f>
        <v>5.32</v>
      </c>
      <c r="AJ119" s="98"/>
      <c r="AK119" s="98"/>
      <c r="AL119" s="2" t="s">
        <v>277</v>
      </c>
    </row>
    <row r="120" spans="1:38" ht="12.75">
      <c r="A120" s="144"/>
      <c r="B120" s="125" t="s">
        <v>283</v>
      </c>
      <c r="C120" s="126"/>
      <c r="D120" s="126"/>
      <c r="E120" s="126"/>
      <c r="F120" s="161"/>
      <c r="G120" s="156">
        <f>G119-G116-G115+$AI122</f>
        <v>-8.621052631578948</v>
      </c>
      <c r="H120" s="157"/>
      <c r="I120" s="157"/>
      <c r="J120" s="158"/>
      <c r="K120" s="156">
        <f>K119-K116-K115+$AI122</f>
        <v>2.873684210526317</v>
      </c>
      <c r="L120" s="157"/>
      <c r="M120" s="157"/>
      <c r="N120" s="158"/>
      <c r="O120" s="156">
        <f>O119-O116-O115+$AI122</f>
        <v>2.873684210526317</v>
      </c>
      <c r="P120" s="157"/>
      <c r="Q120" s="157"/>
      <c r="R120" s="158"/>
      <c r="S120" s="156">
        <f>S119-S116-S115+$AI122</f>
        <v>2.873684210526317</v>
      </c>
      <c r="T120" s="157"/>
      <c r="U120" s="157"/>
      <c r="V120" s="158"/>
      <c r="W120" s="153">
        <f t="shared" si="5"/>
        <v>3.552713678800501E-15</v>
      </c>
      <c r="X120" s="154"/>
      <c r="Y120" s="154"/>
      <c r="Z120" s="159"/>
      <c r="AA120" s="101">
        <f>IF(G112&lt;G111,0,$T$3*G112/100)</f>
        <v>0</v>
      </c>
      <c r="AB120" s="101"/>
      <c r="AC120" s="101">
        <f>IF(K112&lt;K111,0,$T$3*K112/100)</f>
        <v>0</v>
      </c>
      <c r="AD120" s="101"/>
      <c r="AE120" s="101">
        <f>IF(O112&lt;O111,0,$T$3*O112/100)</f>
        <v>0</v>
      </c>
      <c r="AF120" s="101"/>
      <c r="AG120" s="101">
        <f>IF(S112&lt;S111,0,$T$3*S112/100)</f>
        <v>0</v>
      </c>
      <c r="AH120" s="101"/>
      <c r="AI120" s="97">
        <f>SUM(AA120:AH120)</f>
        <v>0</v>
      </c>
      <c r="AJ120" s="98"/>
      <c r="AK120" s="98"/>
      <c r="AL120" s="2" t="s">
        <v>248</v>
      </c>
    </row>
    <row r="121" spans="1:38" ht="12.75">
      <c r="A121" s="144"/>
      <c r="B121" s="125" t="s">
        <v>45</v>
      </c>
      <c r="C121" s="126"/>
      <c r="D121" s="126"/>
      <c r="E121" s="126"/>
      <c r="F121" s="161"/>
      <c r="G121" s="156">
        <f>G120+G118</f>
        <v>-8.621052631578948</v>
      </c>
      <c r="H121" s="157"/>
      <c r="I121" s="157"/>
      <c r="J121" s="158"/>
      <c r="K121" s="160">
        <f>K120+K118</f>
        <v>2.873684210526317</v>
      </c>
      <c r="L121" s="157"/>
      <c r="M121" s="157"/>
      <c r="N121" s="158"/>
      <c r="O121" s="156">
        <f>O120+O118</f>
        <v>2.873684210526317</v>
      </c>
      <c r="P121" s="157"/>
      <c r="Q121" s="157"/>
      <c r="R121" s="158"/>
      <c r="S121" s="160">
        <f>S120+S118</f>
        <v>2.873684210526317</v>
      </c>
      <c r="T121" s="157"/>
      <c r="U121" s="157"/>
      <c r="V121" s="158"/>
      <c r="W121" s="153">
        <f t="shared" si="5"/>
        <v>3.552713678800501E-15</v>
      </c>
      <c r="X121" s="154"/>
      <c r="Y121" s="154"/>
      <c r="Z121" s="155"/>
      <c r="AA121" s="101">
        <f>IF(G112&lt;G111,0,$T$4*G112/100)</f>
        <v>0</v>
      </c>
      <c r="AB121" s="101"/>
      <c r="AC121" s="101">
        <f>IF(K112&lt;K111,0,$T$4*K112/100)</f>
        <v>0</v>
      </c>
      <c r="AD121" s="101"/>
      <c r="AE121" s="101">
        <f>IF(O112&lt;O111,0,$T$4*O112/100)</f>
        <v>0</v>
      </c>
      <c r="AF121" s="101"/>
      <c r="AG121" s="101">
        <f>IF(S112&lt;S111,0,$T$4*S112/100)</f>
        <v>0</v>
      </c>
      <c r="AH121" s="101"/>
      <c r="AI121" s="97">
        <f>SUM(AA121:AH121)</f>
        <v>0</v>
      </c>
      <c r="AJ121" s="98"/>
      <c r="AK121" s="98"/>
      <c r="AL121" s="2" t="s">
        <v>281</v>
      </c>
    </row>
    <row r="122" spans="1:38" ht="12.75">
      <c r="A122" s="144"/>
      <c r="B122" s="194" t="s">
        <v>26</v>
      </c>
      <c r="C122" s="98"/>
      <c r="D122" s="98"/>
      <c r="E122" s="98"/>
      <c r="F122" s="195"/>
      <c r="G122" s="196">
        <f>$AG114/100*$AL$3</f>
        <v>0</v>
      </c>
      <c r="H122" s="197"/>
      <c r="I122" s="197"/>
      <c r="J122" s="198"/>
      <c r="K122" s="137">
        <f>$AG114/100*$AL$4</f>
        <v>0</v>
      </c>
      <c r="L122" s="138"/>
      <c r="M122" s="138"/>
      <c r="N122" s="139"/>
      <c r="O122" s="137">
        <f>$AG114/100*$AL$4</f>
        <v>0</v>
      </c>
      <c r="P122" s="138"/>
      <c r="Q122" s="138"/>
      <c r="R122" s="139"/>
      <c r="S122" s="137">
        <v>0</v>
      </c>
      <c r="T122" s="138"/>
      <c r="U122" s="138"/>
      <c r="V122" s="139"/>
      <c r="W122" s="153">
        <f t="shared" si="5"/>
        <v>0</v>
      </c>
      <c r="X122" s="154"/>
      <c r="Y122" s="154"/>
      <c r="Z122" s="155"/>
      <c r="AI122" s="224">
        <f>'ЦФУ Продажи'!AE$59</f>
        <v>0</v>
      </c>
      <c r="AJ122" s="224"/>
      <c r="AK122" s="224"/>
      <c r="AL122" s="2" t="s">
        <v>280</v>
      </c>
    </row>
    <row r="123" spans="1:38" ht="13.5" thickBot="1">
      <c r="A123" s="144"/>
      <c r="B123" s="191" t="s">
        <v>28</v>
      </c>
      <c r="C123" s="192"/>
      <c r="D123" s="192"/>
      <c r="E123" s="192"/>
      <c r="F123" s="193"/>
      <c r="G123" s="149">
        <f>IF(G122&lt;0,G115,G115+G122)</f>
        <v>29</v>
      </c>
      <c r="H123" s="147"/>
      <c r="I123" s="147"/>
      <c r="J123" s="148"/>
      <c r="K123" s="146">
        <f>IF(K122&lt;0,K115,K115+K122)</f>
        <v>27.599999999999998</v>
      </c>
      <c r="L123" s="147"/>
      <c r="M123" s="147"/>
      <c r="N123" s="148"/>
      <c r="O123" s="149">
        <f>IF(O122&lt;0,O115,O115+O122)</f>
        <v>27.599999999999998</v>
      </c>
      <c r="P123" s="147"/>
      <c r="Q123" s="147"/>
      <c r="R123" s="148"/>
      <c r="S123" s="146">
        <f>IF(S122&lt;0,S115,S115+S122)</f>
        <v>27.599999999999998</v>
      </c>
      <c r="T123" s="147"/>
      <c r="U123" s="147"/>
      <c r="V123" s="148"/>
      <c r="W123" s="150">
        <f t="shared" si="5"/>
        <v>111.79999999999998</v>
      </c>
      <c r="X123" s="151"/>
      <c r="Y123" s="151"/>
      <c r="Z123" s="152"/>
      <c r="AA123" s="101">
        <f>IF($AI119&gt;0,IF(AA119&gt;=0,0,G112*($T$2+$T$3+$T$5)/100-AA119),IF(G112&lt;G111,G112*($T$2+$T$3+$T$5)/100,AA119))</f>
        <v>0</v>
      </c>
      <c r="AB123" s="101"/>
      <c r="AC123" s="101">
        <f>IF($AI119&gt;=0,IF(AC119&gt;=0,0,K112*($T$2+$T$3+$T$4+$T$5)/100-AC119),IF(AC119&lt;0,K112*($T$2+$T$3+$T$4+$T$5)/100,AC119))</f>
        <v>0</v>
      </c>
      <c r="AD123" s="101"/>
      <c r="AE123" s="101">
        <f>IF($AI119&gt;=0,IF(AE119&gt;=0,0,O112*($T$2+$T$3+$T$4+$T$5)/100-AE119),IF(AE119&lt;0,O112*($T$2+$T$3+$T$4+$T$5)/100,AE119))</f>
        <v>0</v>
      </c>
      <c r="AF123" s="101"/>
      <c r="AG123" s="101">
        <f>IF($AI119&gt;=0,IF(AG119&gt;=0,0,S112*($T$2+$T$3+$T$4+$T$5)/100-AG119),IF(AG119&lt;0,S112*($T$2+$T$3+$T$4+$T$5)/100,AG119))</f>
        <v>0</v>
      </c>
      <c r="AH123" s="101"/>
      <c r="AI123" s="97">
        <f>SUM(AA123:AH123)</f>
        <v>0</v>
      </c>
      <c r="AJ123" s="98"/>
      <c r="AK123" s="98"/>
      <c r="AL123" s="2" t="s">
        <v>218</v>
      </c>
    </row>
    <row r="124" spans="1:35" ht="12.75" customHeight="1">
      <c r="A124" s="143" t="s">
        <v>70</v>
      </c>
      <c r="B124" s="93" t="s">
        <v>23</v>
      </c>
      <c r="C124" s="94"/>
      <c r="D124" s="94"/>
      <c r="E124" s="94"/>
      <c r="F124" s="199"/>
      <c r="G124" s="185">
        <v>1120</v>
      </c>
      <c r="H124" s="183"/>
      <c r="I124" s="183"/>
      <c r="J124" s="184"/>
      <c r="K124" s="182">
        <v>1400</v>
      </c>
      <c r="L124" s="183"/>
      <c r="M124" s="183"/>
      <c r="N124" s="184"/>
      <c r="O124" s="185">
        <v>1400</v>
      </c>
      <c r="P124" s="183"/>
      <c r="Q124" s="183"/>
      <c r="R124" s="184"/>
      <c r="S124" s="182">
        <v>1400</v>
      </c>
      <c r="T124" s="183"/>
      <c r="U124" s="183"/>
      <c r="V124" s="184"/>
      <c r="W124" s="170">
        <f t="shared" si="5"/>
        <v>5320</v>
      </c>
      <c r="X124" s="171"/>
      <c r="Y124" s="171"/>
      <c r="Z124" s="172"/>
      <c r="AA124" s="93" t="s">
        <v>53</v>
      </c>
      <c r="AB124" s="94"/>
      <c r="AC124" s="94"/>
      <c r="AD124" s="94"/>
      <c r="AE124" s="94"/>
      <c r="AF124" s="94"/>
      <c r="AG124" s="173">
        <f>(W129+$N$2*AG130)/W124*100+$Q$2+$T$2+$T$3+$T$5</f>
        <v>3.6052631578947367</v>
      </c>
      <c r="AH124" s="174"/>
      <c r="AI124" s="175"/>
    </row>
    <row r="125" spans="1:36" ht="12.75">
      <c r="A125" s="144"/>
      <c r="B125" s="125" t="s">
        <v>24</v>
      </c>
      <c r="C125" s="126"/>
      <c r="D125" s="126"/>
      <c r="E125" s="126"/>
      <c r="F125" s="161"/>
      <c r="G125" s="179">
        <v>1120</v>
      </c>
      <c r="H125" s="177"/>
      <c r="I125" s="177"/>
      <c r="J125" s="178"/>
      <c r="K125" s="176">
        <v>1400</v>
      </c>
      <c r="L125" s="177"/>
      <c r="M125" s="177"/>
      <c r="N125" s="178"/>
      <c r="O125" s="179">
        <v>1400</v>
      </c>
      <c r="P125" s="177"/>
      <c r="Q125" s="177"/>
      <c r="R125" s="178"/>
      <c r="S125" s="176">
        <v>1400</v>
      </c>
      <c r="T125" s="177"/>
      <c r="U125" s="177"/>
      <c r="V125" s="178"/>
      <c r="W125" s="153">
        <f t="shared" si="5"/>
        <v>5320</v>
      </c>
      <c r="X125" s="154"/>
      <c r="Y125" s="154"/>
      <c r="Z125" s="155"/>
      <c r="AA125" s="125" t="s">
        <v>54</v>
      </c>
      <c r="AB125" s="126"/>
      <c r="AC125" s="126"/>
      <c r="AD125" s="126"/>
      <c r="AE125" s="126"/>
      <c r="AF125" s="126"/>
      <c r="AG125" s="180">
        <f>(AG124-$L$2)*W124/100</f>
        <v>0</v>
      </c>
      <c r="AH125" s="180"/>
      <c r="AI125" s="181"/>
      <c r="AJ125" s="2" t="s">
        <v>284</v>
      </c>
    </row>
    <row r="126" spans="1:43" ht="12.75">
      <c r="A126" s="144"/>
      <c r="B126" s="125" t="s">
        <v>29</v>
      </c>
      <c r="C126" s="126"/>
      <c r="D126" s="126"/>
      <c r="E126" s="126"/>
      <c r="F126" s="161"/>
      <c r="G126" s="156">
        <f>IF(G124&lt;=G125,$N$2+G125/100*($Q$2+$T$2)+$AI133/$AG130+$AI135+IF(AI132&gt;0,AI132,0),$N$2+G125/100*$Q$2+$AI133/$AG130+$AI135+IF(AI132&gt;0,AI132,0))</f>
        <v>29</v>
      </c>
      <c r="H126" s="157"/>
      <c r="I126" s="157"/>
      <c r="J126" s="158"/>
      <c r="K126" s="156">
        <f>IF(K124&lt;=K125,$N$2+K125/100*($Q$2+$T$2)+$AI133/$AG130+$AI135,$N$2+K125/100*$Q$2+$AI133/$AG130+$AI135)</f>
        <v>27.599999999999998</v>
      </c>
      <c r="L126" s="157"/>
      <c r="M126" s="157"/>
      <c r="N126" s="158"/>
      <c r="O126" s="156">
        <f>IF(O124&lt;=O125,$N$2+O125/100*($Q$2+$T$2)+$AI133/$AG130+$AI135,$N$2+O125/100*$Q$2+$AI133/$AG130+$AI135)</f>
        <v>27.599999999999998</v>
      </c>
      <c r="P126" s="157"/>
      <c r="Q126" s="157"/>
      <c r="R126" s="158"/>
      <c r="S126" s="156">
        <f>IF(S124&lt;=S125,$N$2+S125/100*($Q$2+$T$2)+$AI133/$AG130+$AI135,$N$2+S125/100*$Q$2+$AI133/$AG130+$AI135)</f>
        <v>27.599999999999998</v>
      </c>
      <c r="T126" s="157"/>
      <c r="U126" s="157"/>
      <c r="V126" s="158"/>
      <c r="W126" s="153">
        <f t="shared" si="5"/>
        <v>111.79999999999998</v>
      </c>
      <c r="X126" s="154"/>
      <c r="Y126" s="154"/>
      <c r="Z126" s="155"/>
      <c r="AA126" s="205" t="s">
        <v>55</v>
      </c>
      <c r="AB126" s="126"/>
      <c r="AC126" s="126"/>
      <c r="AD126" s="126"/>
      <c r="AE126" s="126"/>
      <c r="AF126" s="126"/>
      <c r="AG126" s="122">
        <f>SUM(AJ127:AQ127)+AG125</f>
        <v>0</v>
      </c>
      <c r="AH126" s="123"/>
      <c r="AI126" s="124"/>
      <c r="AJ126" s="225">
        <f>$N$2+G124*($Q$2+$T$2+$T$3/$AG130)/100+$T$5*$W124/100</f>
        <v>29</v>
      </c>
      <c r="AK126" s="226"/>
      <c r="AL126" s="225">
        <f>$N$2+K124*($Q$2+$T$2+$T$3/$AG130)/100</f>
        <v>27.599999999999998</v>
      </c>
      <c r="AM126" s="226"/>
      <c r="AN126" s="225">
        <f>$N$2+O124*($Q$2+$T$2+$T$3/$AG130)/100</f>
        <v>27.599999999999998</v>
      </c>
      <c r="AO126" s="226"/>
      <c r="AP126" s="225">
        <f>$N$2+S124*($Q$2+$T$2+$T$3/$AG130)/100</f>
        <v>27.599999999999998</v>
      </c>
      <c r="AQ126" s="226"/>
    </row>
    <row r="127" spans="1:43" ht="12.75">
      <c r="A127" s="144"/>
      <c r="B127" s="125" t="s">
        <v>10</v>
      </c>
      <c r="C127" s="126"/>
      <c r="D127" s="126"/>
      <c r="E127" s="126"/>
      <c r="F127" s="161"/>
      <c r="G127" s="169">
        <v>20</v>
      </c>
      <c r="H127" s="167"/>
      <c r="I127" s="167"/>
      <c r="J127" s="168"/>
      <c r="K127" s="166">
        <v>8</v>
      </c>
      <c r="L127" s="167"/>
      <c r="M127" s="167"/>
      <c r="N127" s="168"/>
      <c r="O127" s="169">
        <v>8</v>
      </c>
      <c r="P127" s="167"/>
      <c r="Q127" s="167"/>
      <c r="R127" s="168"/>
      <c r="S127" s="166">
        <v>0</v>
      </c>
      <c r="T127" s="167"/>
      <c r="U127" s="167"/>
      <c r="V127" s="168"/>
      <c r="W127" s="153">
        <f t="shared" si="5"/>
        <v>36</v>
      </c>
      <c r="X127" s="154"/>
      <c r="Y127" s="154"/>
      <c r="Z127" s="155"/>
      <c r="AA127" s="205" t="s">
        <v>56</v>
      </c>
      <c r="AB127" s="126"/>
      <c r="AC127" s="126"/>
      <c r="AD127" s="126"/>
      <c r="AE127" s="126"/>
      <c r="AF127" s="126"/>
      <c r="AG127" s="134">
        <f>W134+AG126</f>
        <v>3.552713678800501E-15</v>
      </c>
      <c r="AH127" s="134"/>
      <c r="AI127" s="135"/>
      <c r="AJ127" s="225">
        <f>IF(AJ126&gt;G127,0,G127-AJ126)</f>
        <v>0</v>
      </c>
      <c r="AK127" s="226"/>
      <c r="AL127" s="225">
        <f>IF(AL126&gt;K127,0,K127-AL126)</f>
        <v>0</v>
      </c>
      <c r="AM127" s="226"/>
      <c r="AN127" s="225">
        <f>IF(AN126&gt;O127,0,O127-AN126)</f>
        <v>0</v>
      </c>
      <c r="AO127" s="226"/>
      <c r="AP127" s="225">
        <f>IF(AP126&gt;S127,0,S127-AP126)</f>
        <v>0</v>
      </c>
      <c r="AQ127" s="226"/>
    </row>
    <row r="128" spans="1:48" ht="13.5" thickBot="1">
      <c r="A128" s="144"/>
      <c r="B128" s="125" t="s">
        <v>58</v>
      </c>
      <c r="C128" s="126"/>
      <c r="D128" s="126"/>
      <c r="E128" s="126"/>
      <c r="F128" s="161"/>
      <c r="G128" s="156">
        <f>IF(G126&lt;G127,G127,G126)</f>
        <v>29</v>
      </c>
      <c r="H128" s="157"/>
      <c r="I128" s="157"/>
      <c r="J128" s="158"/>
      <c r="K128" s="160">
        <f>IF(K126&lt;K127,K127,K126)</f>
        <v>27.599999999999998</v>
      </c>
      <c r="L128" s="157"/>
      <c r="M128" s="157"/>
      <c r="N128" s="158"/>
      <c r="O128" s="156">
        <f>IF(O126&lt;O127,O127,O126)</f>
        <v>27.599999999999998</v>
      </c>
      <c r="P128" s="157"/>
      <c r="Q128" s="157"/>
      <c r="R128" s="158"/>
      <c r="S128" s="160">
        <f>IF(S126&lt;S127,S127,S126)</f>
        <v>27.599999999999998</v>
      </c>
      <c r="T128" s="157"/>
      <c r="U128" s="157"/>
      <c r="V128" s="158"/>
      <c r="W128" s="153">
        <f t="shared" si="5"/>
        <v>111.79999999999998</v>
      </c>
      <c r="X128" s="154"/>
      <c r="Y128" s="154"/>
      <c r="Z128" s="155"/>
      <c r="AA128" s="232" t="s">
        <v>57</v>
      </c>
      <c r="AB128" s="90"/>
      <c r="AC128" s="90"/>
      <c r="AD128" s="90"/>
      <c r="AE128" s="90"/>
      <c r="AF128" s="90"/>
      <c r="AG128" s="91">
        <f>-AG126+AG127-W135</f>
        <v>3.552713678800501E-15</v>
      </c>
      <c r="AH128" s="91"/>
      <c r="AI128" s="85"/>
      <c r="AP128" s="35"/>
      <c r="AQ128" s="35"/>
      <c r="AR128" s="35"/>
      <c r="AS128" s="35"/>
      <c r="AT128" s="35"/>
      <c r="AU128" s="35"/>
      <c r="AV128" s="35"/>
    </row>
    <row r="129" spans="1:48" ht="13.5" thickBot="1">
      <c r="A129" s="144"/>
      <c r="B129" s="125" t="s">
        <v>41</v>
      </c>
      <c r="C129" s="126"/>
      <c r="D129" s="126"/>
      <c r="E129" s="126"/>
      <c r="F129" s="161"/>
      <c r="G129" s="156">
        <v>20</v>
      </c>
      <c r="H129" s="157"/>
      <c r="I129" s="157"/>
      <c r="J129" s="158"/>
      <c r="K129" s="160">
        <v>20</v>
      </c>
      <c r="L129" s="157"/>
      <c r="M129" s="157"/>
      <c r="N129" s="158"/>
      <c r="O129" s="156">
        <v>20</v>
      </c>
      <c r="P129" s="157"/>
      <c r="Q129" s="157"/>
      <c r="R129" s="158"/>
      <c r="S129" s="160">
        <v>20</v>
      </c>
      <c r="T129" s="157"/>
      <c r="U129" s="157"/>
      <c r="V129" s="158"/>
      <c r="W129" s="153">
        <f t="shared" si="5"/>
        <v>80</v>
      </c>
      <c r="X129" s="154"/>
      <c r="Y129" s="154"/>
      <c r="Z129" s="155"/>
      <c r="AA129" s="230" t="s">
        <v>59</v>
      </c>
      <c r="AB129" s="231"/>
      <c r="AC129" s="231"/>
      <c r="AD129" s="231"/>
      <c r="AE129" s="231"/>
      <c r="AF129" s="231"/>
      <c r="AG129" s="88">
        <f>AG126+AG128</f>
        <v>3.552713678800501E-15</v>
      </c>
      <c r="AH129" s="89"/>
      <c r="AI129" s="84"/>
      <c r="AP129" s="35"/>
      <c r="AQ129" s="35"/>
      <c r="AR129" s="35"/>
      <c r="AS129" s="35"/>
      <c r="AT129" s="35"/>
      <c r="AU129" s="35"/>
      <c r="AV129" s="35"/>
    </row>
    <row r="130" spans="1:48" ht="12.75">
      <c r="A130" s="144"/>
      <c r="B130" s="125" t="s">
        <v>42</v>
      </c>
      <c r="C130" s="126"/>
      <c r="D130" s="126"/>
      <c r="E130" s="126"/>
      <c r="F130" s="161"/>
      <c r="G130" s="169">
        <v>20</v>
      </c>
      <c r="H130" s="167"/>
      <c r="I130" s="167"/>
      <c r="J130" s="168"/>
      <c r="K130" s="166">
        <v>20</v>
      </c>
      <c r="L130" s="167"/>
      <c r="M130" s="167"/>
      <c r="N130" s="168"/>
      <c r="O130" s="169">
        <v>20</v>
      </c>
      <c r="P130" s="167"/>
      <c r="Q130" s="167"/>
      <c r="R130" s="168"/>
      <c r="S130" s="166">
        <v>20</v>
      </c>
      <c r="T130" s="167"/>
      <c r="U130" s="167"/>
      <c r="V130" s="168"/>
      <c r="W130" s="153">
        <f t="shared" si="5"/>
        <v>80</v>
      </c>
      <c r="X130" s="154"/>
      <c r="Y130" s="154"/>
      <c r="Z130" s="155"/>
      <c r="AA130" s="228" t="s">
        <v>279</v>
      </c>
      <c r="AB130" s="229"/>
      <c r="AC130" s="229"/>
      <c r="AD130" s="229"/>
      <c r="AE130" s="229"/>
      <c r="AF130" s="229"/>
      <c r="AG130" s="95">
        <v>4</v>
      </c>
      <c r="AH130" s="95"/>
      <c r="AI130" s="95"/>
      <c r="AP130" s="35"/>
      <c r="AQ130" s="132"/>
      <c r="AR130" s="132"/>
      <c r="AS130" s="35"/>
      <c r="AT130" s="35"/>
      <c r="AU130" s="35"/>
      <c r="AV130" s="35"/>
    </row>
    <row r="131" spans="1:48" ht="12.75">
      <c r="A131" s="144"/>
      <c r="B131" s="125" t="s">
        <v>43</v>
      </c>
      <c r="C131" s="126"/>
      <c r="D131" s="126"/>
      <c r="E131" s="126"/>
      <c r="F131" s="161"/>
      <c r="G131" s="165">
        <f>G129-G130</f>
        <v>0</v>
      </c>
      <c r="H131" s="163"/>
      <c r="I131" s="163"/>
      <c r="J131" s="164"/>
      <c r="K131" s="162">
        <f>K129-K130</f>
        <v>0</v>
      </c>
      <c r="L131" s="163"/>
      <c r="M131" s="163"/>
      <c r="N131" s="164"/>
      <c r="O131" s="165">
        <f>O129-O130</f>
        <v>0</v>
      </c>
      <c r="P131" s="163"/>
      <c r="Q131" s="163"/>
      <c r="R131" s="164"/>
      <c r="S131" s="162">
        <v>0</v>
      </c>
      <c r="T131" s="163"/>
      <c r="U131" s="163"/>
      <c r="V131" s="164"/>
      <c r="W131" s="153">
        <f t="shared" si="5"/>
        <v>0</v>
      </c>
      <c r="X131" s="154"/>
      <c r="Y131" s="154"/>
      <c r="Z131" s="155"/>
      <c r="AA131" s="132">
        <f>W125*$L$2/100-AI136</f>
        <v>191.8</v>
      </c>
      <c r="AB131" s="233"/>
      <c r="AC131" s="233"/>
      <c r="AD131" s="233"/>
      <c r="AE131" s="233"/>
      <c r="AF131" s="233"/>
      <c r="AG131" s="233"/>
      <c r="AH131" s="233"/>
      <c r="AI131" s="233"/>
      <c r="AP131" s="35"/>
      <c r="AQ131" s="35"/>
      <c r="AR131" s="35"/>
      <c r="AS131" s="35"/>
      <c r="AT131" s="35"/>
      <c r="AU131" s="35"/>
      <c r="AV131" s="35"/>
    </row>
    <row r="132" spans="1:48" ht="12.75">
      <c r="A132" s="144"/>
      <c r="B132" s="125" t="s">
        <v>30</v>
      </c>
      <c r="C132" s="126"/>
      <c r="D132" s="126"/>
      <c r="E132" s="126"/>
      <c r="F132" s="161"/>
      <c r="G132" s="156">
        <f>G125*$L$2/100-AA136</f>
        <v>40.37894736842105</v>
      </c>
      <c r="H132" s="157"/>
      <c r="I132" s="157"/>
      <c r="J132" s="158"/>
      <c r="K132" s="156">
        <f>K125*$L$2/100-AC136</f>
        <v>50.473684210526315</v>
      </c>
      <c r="L132" s="157"/>
      <c r="M132" s="157"/>
      <c r="N132" s="158"/>
      <c r="O132" s="156">
        <f>O125*$L$2/100-AE136</f>
        <v>50.473684210526315</v>
      </c>
      <c r="P132" s="157"/>
      <c r="Q132" s="157"/>
      <c r="R132" s="158"/>
      <c r="S132" s="156">
        <f>S125*$L$2/100-AG136</f>
        <v>50.473684210526315</v>
      </c>
      <c r="T132" s="157"/>
      <c r="U132" s="157"/>
      <c r="V132" s="158"/>
      <c r="W132" s="153">
        <f t="shared" si="5"/>
        <v>191.8</v>
      </c>
      <c r="X132" s="154"/>
      <c r="Y132" s="154"/>
      <c r="Z132" s="155"/>
      <c r="AA132" s="101">
        <f>IF(G125&lt;G124,$T$5*(G125-G124)*$L$3/100,$T$5*G125/100)</f>
        <v>1.12</v>
      </c>
      <c r="AB132" s="101"/>
      <c r="AC132" s="101">
        <f>IF(K125&lt;K124,$T$5*(K125-K124)*$L$3/100,$T$5*K125/100)</f>
        <v>1.4</v>
      </c>
      <c r="AD132" s="101"/>
      <c r="AE132" s="101">
        <f>IF(O125&lt;O124,$T$5*(O125-O124)*$L$3/100,$T$5*O125/100)</f>
        <v>1.4</v>
      </c>
      <c r="AF132" s="101"/>
      <c r="AG132" s="101">
        <f>IF(S125&lt;S124,$T$5*(S125-S124)*$L$3/100,$T$5*S125/100)</f>
        <v>1.4</v>
      </c>
      <c r="AH132" s="101"/>
      <c r="AI132" s="97">
        <f>SUM(AA132:AH132)</f>
        <v>5.32</v>
      </c>
      <c r="AJ132" s="98"/>
      <c r="AK132" s="98"/>
      <c r="AL132" s="2" t="s">
        <v>277</v>
      </c>
      <c r="AP132" s="35"/>
      <c r="AQ132" s="35"/>
      <c r="AR132" s="35"/>
      <c r="AS132" s="35"/>
      <c r="AT132" s="35"/>
      <c r="AU132" s="35"/>
      <c r="AV132" s="35"/>
    </row>
    <row r="133" spans="1:48" ht="12.75">
      <c r="A133" s="144"/>
      <c r="B133" s="125" t="s">
        <v>283</v>
      </c>
      <c r="C133" s="126"/>
      <c r="D133" s="126"/>
      <c r="E133" s="126"/>
      <c r="F133" s="161"/>
      <c r="G133" s="156">
        <f>G132-G129-G128+$AI135</f>
        <v>-8.621052631578948</v>
      </c>
      <c r="H133" s="157"/>
      <c r="I133" s="157"/>
      <c r="J133" s="158"/>
      <c r="K133" s="156">
        <f>K132-K129-K128+$AI135</f>
        <v>2.873684210526317</v>
      </c>
      <c r="L133" s="157"/>
      <c r="M133" s="157"/>
      <c r="N133" s="158"/>
      <c r="O133" s="156">
        <f>O132-O129-O128+$AI135</f>
        <v>2.873684210526317</v>
      </c>
      <c r="P133" s="157"/>
      <c r="Q133" s="157"/>
      <c r="R133" s="158"/>
      <c r="S133" s="156">
        <f>S132-S129-S128+$AI135</f>
        <v>2.873684210526317</v>
      </c>
      <c r="T133" s="157"/>
      <c r="U133" s="157"/>
      <c r="V133" s="158"/>
      <c r="W133" s="153">
        <f t="shared" si="5"/>
        <v>3.552713678800501E-15</v>
      </c>
      <c r="X133" s="154"/>
      <c r="Y133" s="154"/>
      <c r="Z133" s="159"/>
      <c r="AA133" s="101">
        <f>IF(G125&lt;G124,0,$T$3*G125/100)</f>
        <v>0</v>
      </c>
      <c r="AB133" s="101"/>
      <c r="AC133" s="101">
        <f>IF(K125&lt;K124,0,$T$3*K125/100)</f>
        <v>0</v>
      </c>
      <c r="AD133" s="101"/>
      <c r="AE133" s="101">
        <f>IF(O125&lt;O124,0,$T$3*O125/100)</f>
        <v>0</v>
      </c>
      <c r="AF133" s="101"/>
      <c r="AG133" s="101">
        <f>IF(S125&lt;S124,0,$T$3*S125/100)</f>
        <v>0</v>
      </c>
      <c r="AH133" s="101"/>
      <c r="AI133" s="97">
        <f>SUM(AA133:AH133)</f>
        <v>0</v>
      </c>
      <c r="AJ133" s="98"/>
      <c r="AK133" s="98"/>
      <c r="AL133" s="2" t="s">
        <v>248</v>
      </c>
      <c r="AP133" s="35"/>
      <c r="AQ133" s="35"/>
      <c r="AR133" s="35"/>
      <c r="AS133" s="35"/>
      <c r="AT133" s="35"/>
      <c r="AU133" s="35"/>
      <c r="AV133" s="35"/>
    </row>
    <row r="134" spans="1:48" ht="12.75">
      <c r="A134" s="144"/>
      <c r="B134" s="125" t="s">
        <v>45</v>
      </c>
      <c r="C134" s="126"/>
      <c r="D134" s="126"/>
      <c r="E134" s="126"/>
      <c r="F134" s="161"/>
      <c r="G134" s="156">
        <f>G133+G131</f>
        <v>-8.621052631578948</v>
      </c>
      <c r="H134" s="157"/>
      <c r="I134" s="157"/>
      <c r="J134" s="158"/>
      <c r="K134" s="160">
        <f>K133+K131</f>
        <v>2.873684210526317</v>
      </c>
      <c r="L134" s="157"/>
      <c r="M134" s="157"/>
      <c r="N134" s="158"/>
      <c r="O134" s="156">
        <f>O133+O131</f>
        <v>2.873684210526317</v>
      </c>
      <c r="P134" s="157"/>
      <c r="Q134" s="157"/>
      <c r="R134" s="158"/>
      <c r="S134" s="160">
        <f>S133+S131</f>
        <v>2.873684210526317</v>
      </c>
      <c r="T134" s="157"/>
      <c r="U134" s="157"/>
      <c r="V134" s="158"/>
      <c r="W134" s="153">
        <f t="shared" si="5"/>
        <v>3.552713678800501E-15</v>
      </c>
      <c r="X134" s="154"/>
      <c r="Y134" s="154"/>
      <c r="Z134" s="155"/>
      <c r="AA134" s="101">
        <f>IF(G125&lt;G124,0,$T$4*G125/100)</f>
        <v>0</v>
      </c>
      <c r="AB134" s="101"/>
      <c r="AC134" s="101">
        <f>IF(K125&lt;K124,0,$T$4*K125/100)</f>
        <v>0</v>
      </c>
      <c r="AD134" s="101"/>
      <c r="AE134" s="101">
        <f>IF(O125&lt;O124,0,$T$4*O125/100)</f>
        <v>0</v>
      </c>
      <c r="AF134" s="101"/>
      <c r="AG134" s="101">
        <f>IF(S125&lt;S124,0,$T$4*S125/100)</f>
        <v>0</v>
      </c>
      <c r="AH134" s="101"/>
      <c r="AI134" s="97">
        <f>SUM(AA134:AH134)</f>
        <v>0</v>
      </c>
      <c r="AJ134" s="98"/>
      <c r="AK134" s="98"/>
      <c r="AL134" s="2" t="s">
        <v>281</v>
      </c>
      <c r="AP134" s="35"/>
      <c r="AQ134" s="35"/>
      <c r="AR134" s="35"/>
      <c r="AS134" s="35"/>
      <c r="AT134" s="35"/>
      <c r="AU134" s="35"/>
      <c r="AV134" s="35"/>
    </row>
    <row r="135" spans="1:48" ht="12.75">
      <c r="A135" s="144"/>
      <c r="B135" s="194" t="s">
        <v>26</v>
      </c>
      <c r="C135" s="98"/>
      <c r="D135" s="98"/>
      <c r="E135" s="98"/>
      <c r="F135" s="195"/>
      <c r="G135" s="196">
        <f>$AG127/100*$AL$3</f>
        <v>0</v>
      </c>
      <c r="H135" s="197"/>
      <c r="I135" s="197"/>
      <c r="J135" s="198"/>
      <c r="K135" s="137">
        <f>$AG127/100*$AL$4</f>
        <v>0</v>
      </c>
      <c r="L135" s="138"/>
      <c r="M135" s="138"/>
      <c r="N135" s="139"/>
      <c r="O135" s="137">
        <f>$AG127/100*$AL$4</f>
        <v>0</v>
      </c>
      <c r="P135" s="138"/>
      <c r="Q135" s="138"/>
      <c r="R135" s="139"/>
      <c r="S135" s="137">
        <v>0</v>
      </c>
      <c r="T135" s="138"/>
      <c r="U135" s="138"/>
      <c r="V135" s="139"/>
      <c r="W135" s="153">
        <f t="shared" si="5"/>
        <v>0</v>
      </c>
      <c r="X135" s="154"/>
      <c r="Y135" s="154"/>
      <c r="Z135" s="155"/>
      <c r="AI135" s="224">
        <f>'ЦФУ Продажи'!AH$59</f>
        <v>0</v>
      </c>
      <c r="AJ135" s="224"/>
      <c r="AK135" s="224"/>
      <c r="AL135" s="2" t="s">
        <v>280</v>
      </c>
      <c r="AP135" s="35"/>
      <c r="AQ135" s="35"/>
      <c r="AR135" s="35"/>
      <c r="AS135" s="35"/>
      <c r="AT135" s="35"/>
      <c r="AU135" s="35"/>
      <c r="AV135" s="35"/>
    </row>
    <row r="136" spans="1:38" ht="13.5" thickBot="1">
      <c r="A136" s="144"/>
      <c r="B136" s="191" t="s">
        <v>28</v>
      </c>
      <c r="C136" s="192"/>
      <c r="D136" s="192"/>
      <c r="E136" s="192"/>
      <c r="F136" s="193"/>
      <c r="G136" s="149">
        <f>IF(G135&lt;0,G128,G128+G135)</f>
        <v>29</v>
      </c>
      <c r="H136" s="147"/>
      <c r="I136" s="147"/>
      <c r="J136" s="148"/>
      <c r="K136" s="146">
        <f>IF(K135&lt;0,K128,K128+K135)</f>
        <v>27.599999999999998</v>
      </c>
      <c r="L136" s="147"/>
      <c r="M136" s="147"/>
      <c r="N136" s="148"/>
      <c r="O136" s="149">
        <f>IF(O135&lt;0,O128,O128+O135)</f>
        <v>27.599999999999998</v>
      </c>
      <c r="P136" s="147"/>
      <c r="Q136" s="147"/>
      <c r="R136" s="148"/>
      <c r="S136" s="146">
        <f>IF(S135&lt;0,S128,S128+S135)</f>
        <v>27.599999999999998</v>
      </c>
      <c r="T136" s="147"/>
      <c r="U136" s="147"/>
      <c r="V136" s="148"/>
      <c r="W136" s="150">
        <f t="shared" si="5"/>
        <v>111.79999999999998</v>
      </c>
      <c r="X136" s="151"/>
      <c r="Y136" s="151"/>
      <c r="Z136" s="152"/>
      <c r="AA136" s="101">
        <f>IF($AI132&gt;0,IF(AA132&gt;=0,0,G125*($T$2+$T$3+$T$5)/100-AA132),IF(G125&lt;G124,G125*($T$2+$T$3+$T$5)/100,AA132))</f>
        <v>0</v>
      </c>
      <c r="AB136" s="101"/>
      <c r="AC136" s="101">
        <f>IF($AI132&gt;=0,IF(AC132&gt;=0,0,K125*($T$2+$T$3+$T$4+$T$5)/100-AC132),IF(AC132&lt;0,K125*($T$2+$T$3+$T$4+$T$5)/100,AC132))</f>
        <v>0</v>
      </c>
      <c r="AD136" s="101"/>
      <c r="AE136" s="101">
        <f>IF($AI132&gt;=0,IF(AE132&gt;=0,0,O125*($T$2+$T$3+$T$4+$T$5)/100-AE132),IF(AE132&lt;0,O125*($T$2+$T$3+$T$4+$T$5)/100,AE132))</f>
        <v>0</v>
      </c>
      <c r="AF136" s="101"/>
      <c r="AG136" s="101">
        <f>IF($AI132&gt;=0,IF(AG132&gt;=0,0,S125*($T$2+$T$3+$T$4+$T$5)/100-AG132),IF(AG132&lt;0,S125*($T$2+$T$3+$T$4+$T$5)/100,AG132))</f>
        <v>0</v>
      </c>
      <c r="AH136" s="101"/>
      <c r="AI136" s="97">
        <f>SUM(AA136:AH136)</f>
        <v>0</v>
      </c>
      <c r="AJ136" s="98"/>
      <c r="AK136" s="98"/>
      <c r="AL136" s="2" t="s">
        <v>218</v>
      </c>
    </row>
    <row r="137" spans="1:35" ht="12.75" customHeight="1">
      <c r="A137" s="143" t="s">
        <v>71</v>
      </c>
      <c r="B137" s="93" t="s">
        <v>23</v>
      </c>
      <c r="C137" s="94"/>
      <c r="D137" s="94"/>
      <c r="E137" s="94"/>
      <c r="F137" s="199"/>
      <c r="G137" s="185">
        <v>1120</v>
      </c>
      <c r="H137" s="183"/>
      <c r="I137" s="183"/>
      <c r="J137" s="184"/>
      <c r="K137" s="182">
        <v>1400</v>
      </c>
      <c r="L137" s="183"/>
      <c r="M137" s="183"/>
      <c r="N137" s="184"/>
      <c r="O137" s="185">
        <v>1400</v>
      </c>
      <c r="P137" s="183"/>
      <c r="Q137" s="183"/>
      <c r="R137" s="184"/>
      <c r="S137" s="182">
        <v>1400</v>
      </c>
      <c r="T137" s="183"/>
      <c r="U137" s="183"/>
      <c r="V137" s="184"/>
      <c r="W137" s="170">
        <f aca="true" t="shared" si="6" ref="W137:W149">G137+K137+O137+S137</f>
        <v>5320</v>
      </c>
      <c r="X137" s="171"/>
      <c r="Y137" s="171"/>
      <c r="Z137" s="172"/>
      <c r="AA137" s="93" t="s">
        <v>53</v>
      </c>
      <c r="AB137" s="94"/>
      <c r="AC137" s="94"/>
      <c r="AD137" s="94"/>
      <c r="AE137" s="94"/>
      <c r="AF137" s="94"/>
      <c r="AG137" s="173">
        <f>(W142+$N$2*AG143)/W137*100+$Q$2+$T$2+$T$3+$T$5</f>
        <v>3.6052631578947367</v>
      </c>
      <c r="AH137" s="174"/>
      <c r="AI137" s="175"/>
    </row>
    <row r="138" spans="1:36" ht="12.75">
      <c r="A138" s="144"/>
      <c r="B138" s="125" t="s">
        <v>24</v>
      </c>
      <c r="C138" s="126"/>
      <c r="D138" s="126"/>
      <c r="E138" s="126"/>
      <c r="F138" s="161"/>
      <c r="G138" s="179">
        <v>1120</v>
      </c>
      <c r="H138" s="177"/>
      <c r="I138" s="177"/>
      <c r="J138" s="178"/>
      <c r="K138" s="176">
        <v>1400</v>
      </c>
      <c r="L138" s="177"/>
      <c r="M138" s="177"/>
      <c r="N138" s="178"/>
      <c r="O138" s="179">
        <v>1400</v>
      </c>
      <c r="P138" s="177"/>
      <c r="Q138" s="177"/>
      <c r="R138" s="178"/>
      <c r="S138" s="176">
        <v>1400</v>
      </c>
      <c r="T138" s="177"/>
      <c r="U138" s="177"/>
      <c r="V138" s="178"/>
      <c r="W138" s="153">
        <f t="shared" si="6"/>
        <v>5320</v>
      </c>
      <c r="X138" s="154"/>
      <c r="Y138" s="154"/>
      <c r="Z138" s="155"/>
      <c r="AA138" s="125" t="s">
        <v>54</v>
      </c>
      <c r="AB138" s="126"/>
      <c r="AC138" s="126"/>
      <c r="AD138" s="126"/>
      <c r="AE138" s="126"/>
      <c r="AF138" s="126"/>
      <c r="AG138" s="180">
        <f>(AG137-$L$2)*W137/100</f>
        <v>0</v>
      </c>
      <c r="AH138" s="180"/>
      <c r="AI138" s="181"/>
      <c r="AJ138" s="2" t="s">
        <v>284</v>
      </c>
    </row>
    <row r="139" spans="1:43" ht="12.75">
      <c r="A139" s="144"/>
      <c r="B139" s="125" t="s">
        <v>29</v>
      </c>
      <c r="C139" s="126"/>
      <c r="D139" s="126"/>
      <c r="E139" s="126"/>
      <c r="F139" s="161"/>
      <c r="G139" s="156">
        <f>IF(G137&lt;=G138,$N$2+G138/100*($Q$2+$T$2)+$AI146/$AG143+$AI148+IF(AI145&gt;0,AI145,0),$N$2+G138/100*$Q$2+$AI146/$AG143+$AI148+IF(AI145&gt;0,AI145,0))</f>
        <v>29</v>
      </c>
      <c r="H139" s="157"/>
      <c r="I139" s="157"/>
      <c r="J139" s="158"/>
      <c r="K139" s="156">
        <f>IF(K137&lt;=K138,$N$2+K138/100*($Q$2+$T$2)+$AI146/$AG143+$AI148,$N$2+K138/100*$Q$2+$AI146/$AG143+$AI148)</f>
        <v>27.599999999999998</v>
      </c>
      <c r="L139" s="157"/>
      <c r="M139" s="157"/>
      <c r="N139" s="158"/>
      <c r="O139" s="156">
        <f>IF(O137&lt;=O138,$N$2+O138/100*($Q$2+$T$2)+$AI146/$AG143+$AI148,$N$2+O138/100*$Q$2+$AI146/$AG143+$AI148)</f>
        <v>27.599999999999998</v>
      </c>
      <c r="P139" s="157"/>
      <c r="Q139" s="157"/>
      <c r="R139" s="158"/>
      <c r="S139" s="156">
        <f>IF(S137&lt;=S138,$N$2+S138/100*($Q$2+$T$2)+$AI146/$AG143+$AI148,$N$2+S138/100*$Q$2+$AI146/$AG143+$AI148)</f>
        <v>27.599999999999998</v>
      </c>
      <c r="T139" s="157"/>
      <c r="U139" s="157"/>
      <c r="V139" s="158"/>
      <c r="W139" s="153">
        <f t="shared" si="6"/>
        <v>111.79999999999998</v>
      </c>
      <c r="X139" s="154"/>
      <c r="Y139" s="154"/>
      <c r="Z139" s="155"/>
      <c r="AA139" s="205" t="s">
        <v>55</v>
      </c>
      <c r="AB139" s="126"/>
      <c r="AC139" s="126"/>
      <c r="AD139" s="126"/>
      <c r="AE139" s="126"/>
      <c r="AF139" s="126"/>
      <c r="AG139" s="122">
        <f>SUM(AJ140:AQ140)+AG138</f>
        <v>0</v>
      </c>
      <c r="AH139" s="123"/>
      <c r="AI139" s="124"/>
      <c r="AJ139" s="225">
        <f>$N$2+G137*($Q$2+$T$2+$T$3/$AG143)/100+$T$5*$W137/100</f>
        <v>29</v>
      </c>
      <c r="AK139" s="226"/>
      <c r="AL139" s="225">
        <f>$N$2+K137*($Q$2+$T$2+$T$3/$AG143)/100</f>
        <v>27.599999999999998</v>
      </c>
      <c r="AM139" s="226"/>
      <c r="AN139" s="225">
        <f>$N$2+O137*($Q$2+$T$2+$T$3/$AG143)/100</f>
        <v>27.599999999999998</v>
      </c>
      <c r="AO139" s="226"/>
      <c r="AP139" s="225">
        <f>$N$2+S137*($Q$2+$T$2+$T$3/$AG143)/100</f>
        <v>27.599999999999998</v>
      </c>
      <c r="AQ139" s="226"/>
    </row>
    <row r="140" spans="1:43" ht="12.75">
      <c r="A140" s="144"/>
      <c r="B140" s="125" t="s">
        <v>10</v>
      </c>
      <c r="C140" s="126"/>
      <c r="D140" s="126"/>
      <c r="E140" s="126"/>
      <c r="F140" s="161"/>
      <c r="G140" s="169">
        <v>20</v>
      </c>
      <c r="H140" s="167"/>
      <c r="I140" s="167"/>
      <c r="J140" s="168"/>
      <c r="K140" s="166">
        <v>8</v>
      </c>
      <c r="L140" s="167"/>
      <c r="M140" s="167"/>
      <c r="N140" s="168"/>
      <c r="O140" s="169">
        <v>8</v>
      </c>
      <c r="P140" s="167"/>
      <c r="Q140" s="167"/>
      <c r="R140" s="168"/>
      <c r="S140" s="166">
        <v>0</v>
      </c>
      <c r="T140" s="167"/>
      <c r="U140" s="167"/>
      <c r="V140" s="168"/>
      <c r="W140" s="153">
        <f t="shared" si="6"/>
        <v>36</v>
      </c>
      <c r="X140" s="154"/>
      <c r="Y140" s="154"/>
      <c r="Z140" s="155"/>
      <c r="AA140" s="205" t="s">
        <v>56</v>
      </c>
      <c r="AB140" s="126"/>
      <c r="AC140" s="126"/>
      <c r="AD140" s="126"/>
      <c r="AE140" s="126"/>
      <c r="AF140" s="126"/>
      <c r="AG140" s="134">
        <f>W147+AG139</f>
        <v>3.552713678800501E-15</v>
      </c>
      <c r="AH140" s="134"/>
      <c r="AI140" s="135"/>
      <c r="AJ140" s="225">
        <f>IF(AJ139&gt;G140,0,G140-AJ139)</f>
        <v>0</v>
      </c>
      <c r="AK140" s="226"/>
      <c r="AL140" s="225">
        <f>IF(AL139&gt;K140,0,K140-AL139)</f>
        <v>0</v>
      </c>
      <c r="AM140" s="226"/>
      <c r="AN140" s="225">
        <f>IF(AN139&gt;O140,0,O140-AN139)</f>
        <v>0</v>
      </c>
      <c r="AO140" s="226"/>
      <c r="AP140" s="225">
        <f>IF(AP139&gt;S140,0,S140-AP139)</f>
        <v>0</v>
      </c>
      <c r="AQ140" s="226"/>
    </row>
    <row r="141" spans="1:35" ht="13.5" thickBot="1">
      <c r="A141" s="144"/>
      <c r="B141" s="125" t="s">
        <v>58</v>
      </c>
      <c r="C141" s="126"/>
      <c r="D141" s="126"/>
      <c r="E141" s="126"/>
      <c r="F141" s="161"/>
      <c r="G141" s="156">
        <f>IF(G139&lt;G140,G140,G139)</f>
        <v>29</v>
      </c>
      <c r="H141" s="157"/>
      <c r="I141" s="157"/>
      <c r="J141" s="158"/>
      <c r="K141" s="160">
        <f>IF(K139&lt;K140,K140,K139)</f>
        <v>27.599999999999998</v>
      </c>
      <c r="L141" s="157"/>
      <c r="M141" s="157"/>
      <c r="N141" s="158"/>
      <c r="O141" s="156">
        <f>IF(O139&lt;O140,O140,O139)</f>
        <v>27.599999999999998</v>
      </c>
      <c r="P141" s="157"/>
      <c r="Q141" s="157"/>
      <c r="R141" s="158"/>
      <c r="S141" s="160">
        <f>IF(S139&lt;S140,S140,S139)</f>
        <v>27.599999999999998</v>
      </c>
      <c r="T141" s="157"/>
      <c r="U141" s="157"/>
      <c r="V141" s="158"/>
      <c r="W141" s="153">
        <f t="shared" si="6"/>
        <v>111.79999999999998</v>
      </c>
      <c r="X141" s="154"/>
      <c r="Y141" s="154"/>
      <c r="Z141" s="155"/>
      <c r="AA141" s="232" t="s">
        <v>57</v>
      </c>
      <c r="AB141" s="90"/>
      <c r="AC141" s="90"/>
      <c r="AD141" s="90"/>
      <c r="AE141" s="90"/>
      <c r="AF141" s="90"/>
      <c r="AG141" s="91">
        <f>-AG139+AG140-W148</f>
        <v>3.552713678800501E-15</v>
      </c>
      <c r="AH141" s="91"/>
      <c r="AI141" s="85"/>
    </row>
    <row r="142" spans="1:35" ht="13.5" thickBot="1">
      <c r="A142" s="144"/>
      <c r="B142" s="125" t="s">
        <v>41</v>
      </c>
      <c r="C142" s="126"/>
      <c r="D142" s="126"/>
      <c r="E142" s="126"/>
      <c r="F142" s="161"/>
      <c r="G142" s="156">
        <v>20</v>
      </c>
      <c r="H142" s="157"/>
      <c r="I142" s="157"/>
      <c r="J142" s="158"/>
      <c r="K142" s="160">
        <v>20</v>
      </c>
      <c r="L142" s="157"/>
      <c r="M142" s="157"/>
      <c r="N142" s="158"/>
      <c r="O142" s="156">
        <v>20</v>
      </c>
      <c r="P142" s="157"/>
      <c r="Q142" s="157"/>
      <c r="R142" s="158"/>
      <c r="S142" s="160">
        <v>20</v>
      </c>
      <c r="T142" s="157"/>
      <c r="U142" s="157"/>
      <c r="V142" s="158"/>
      <c r="W142" s="153">
        <f t="shared" si="6"/>
        <v>80</v>
      </c>
      <c r="X142" s="154"/>
      <c r="Y142" s="154"/>
      <c r="Z142" s="155"/>
      <c r="AA142" s="230" t="s">
        <v>59</v>
      </c>
      <c r="AB142" s="231"/>
      <c r="AC142" s="231"/>
      <c r="AD142" s="231"/>
      <c r="AE142" s="231"/>
      <c r="AF142" s="231"/>
      <c r="AG142" s="88">
        <f>AG139+AG141</f>
        <v>3.552713678800501E-15</v>
      </c>
      <c r="AH142" s="89"/>
      <c r="AI142" s="84"/>
    </row>
    <row r="143" spans="1:35" ht="12.75">
      <c r="A143" s="144"/>
      <c r="B143" s="125" t="s">
        <v>42</v>
      </c>
      <c r="C143" s="126"/>
      <c r="D143" s="126"/>
      <c r="E143" s="126"/>
      <c r="F143" s="161"/>
      <c r="G143" s="169">
        <v>20</v>
      </c>
      <c r="H143" s="167"/>
      <c r="I143" s="167"/>
      <c r="J143" s="168"/>
      <c r="K143" s="166">
        <v>20</v>
      </c>
      <c r="L143" s="167"/>
      <c r="M143" s="167"/>
      <c r="N143" s="168"/>
      <c r="O143" s="169">
        <v>20</v>
      </c>
      <c r="P143" s="167"/>
      <c r="Q143" s="167"/>
      <c r="R143" s="168"/>
      <c r="S143" s="166">
        <v>20</v>
      </c>
      <c r="T143" s="167"/>
      <c r="U143" s="167"/>
      <c r="V143" s="168"/>
      <c r="W143" s="153">
        <f t="shared" si="6"/>
        <v>80</v>
      </c>
      <c r="X143" s="154"/>
      <c r="Y143" s="154"/>
      <c r="Z143" s="155"/>
      <c r="AA143" s="228" t="s">
        <v>279</v>
      </c>
      <c r="AB143" s="229"/>
      <c r="AC143" s="229"/>
      <c r="AD143" s="229"/>
      <c r="AE143" s="229"/>
      <c r="AF143" s="229"/>
      <c r="AG143" s="95">
        <v>4</v>
      </c>
      <c r="AH143" s="95"/>
      <c r="AI143" s="95"/>
    </row>
    <row r="144" spans="1:35" ht="12.75">
      <c r="A144" s="144"/>
      <c r="B144" s="125" t="s">
        <v>43</v>
      </c>
      <c r="C144" s="126"/>
      <c r="D144" s="126"/>
      <c r="E144" s="126"/>
      <c r="F144" s="161"/>
      <c r="G144" s="165">
        <f>G142-G143</f>
        <v>0</v>
      </c>
      <c r="H144" s="163"/>
      <c r="I144" s="163"/>
      <c r="J144" s="164"/>
      <c r="K144" s="162">
        <f>K142-K143</f>
        <v>0</v>
      </c>
      <c r="L144" s="163"/>
      <c r="M144" s="163"/>
      <c r="N144" s="164"/>
      <c r="O144" s="165">
        <f>O142-O143</f>
        <v>0</v>
      </c>
      <c r="P144" s="163"/>
      <c r="Q144" s="163"/>
      <c r="R144" s="164"/>
      <c r="S144" s="162">
        <v>0</v>
      </c>
      <c r="T144" s="163"/>
      <c r="U144" s="163"/>
      <c r="V144" s="164"/>
      <c r="W144" s="153">
        <f t="shared" si="6"/>
        <v>0</v>
      </c>
      <c r="X144" s="154"/>
      <c r="Y144" s="154"/>
      <c r="Z144" s="155"/>
      <c r="AA144" s="132">
        <f>W138*$L$2/100-AI149</f>
        <v>191.8</v>
      </c>
      <c r="AB144" s="233"/>
      <c r="AC144" s="233"/>
      <c r="AD144" s="233"/>
      <c r="AE144" s="233"/>
      <c r="AF144" s="233"/>
      <c r="AG144" s="233"/>
      <c r="AH144" s="233"/>
      <c r="AI144" s="233"/>
    </row>
    <row r="145" spans="1:38" ht="12.75">
      <c r="A145" s="144"/>
      <c r="B145" s="125" t="s">
        <v>30</v>
      </c>
      <c r="C145" s="126"/>
      <c r="D145" s="126"/>
      <c r="E145" s="126"/>
      <c r="F145" s="161"/>
      <c r="G145" s="156">
        <f>G138*$L$2/100-AA149</f>
        <v>40.37894736842105</v>
      </c>
      <c r="H145" s="157"/>
      <c r="I145" s="157"/>
      <c r="J145" s="158"/>
      <c r="K145" s="156">
        <f>K138*$L$2/100-AC149</f>
        <v>50.473684210526315</v>
      </c>
      <c r="L145" s="157"/>
      <c r="M145" s="157"/>
      <c r="N145" s="158"/>
      <c r="O145" s="156">
        <f>O138*$L$2/100-AE149</f>
        <v>50.473684210526315</v>
      </c>
      <c r="P145" s="157"/>
      <c r="Q145" s="157"/>
      <c r="R145" s="158"/>
      <c r="S145" s="156">
        <f>S138*$L$2/100-AG149</f>
        <v>50.473684210526315</v>
      </c>
      <c r="T145" s="157"/>
      <c r="U145" s="157"/>
      <c r="V145" s="158"/>
      <c r="W145" s="153">
        <f t="shared" si="6"/>
        <v>191.8</v>
      </c>
      <c r="X145" s="154"/>
      <c r="Y145" s="154"/>
      <c r="Z145" s="155"/>
      <c r="AA145" s="101">
        <f>IF(G138&lt;G137,$T$5*(G138-G137)*$L$3/100,$T$5*G138/100)</f>
        <v>1.12</v>
      </c>
      <c r="AB145" s="101"/>
      <c r="AC145" s="101">
        <f>IF(K138&lt;K137,$T$5*(K138-K137)*$L$3/100,$T$5*K138/100)</f>
        <v>1.4</v>
      </c>
      <c r="AD145" s="101"/>
      <c r="AE145" s="101">
        <f>IF(O138&lt;O137,$T$5*(O138-O137)*$L$3/100,$T$5*O138/100)</f>
        <v>1.4</v>
      </c>
      <c r="AF145" s="101"/>
      <c r="AG145" s="101">
        <f>IF(S138&lt;S137,$T$5*(S138-S137)*$L$3/100,$T$5*S138/100)</f>
        <v>1.4</v>
      </c>
      <c r="AH145" s="101"/>
      <c r="AI145" s="97">
        <f>SUM(AA145:AH145)</f>
        <v>5.32</v>
      </c>
      <c r="AJ145" s="98"/>
      <c r="AK145" s="98"/>
      <c r="AL145" s="2" t="s">
        <v>277</v>
      </c>
    </row>
    <row r="146" spans="1:38" ht="12.75">
      <c r="A146" s="144"/>
      <c r="B146" s="125" t="s">
        <v>283</v>
      </c>
      <c r="C146" s="126"/>
      <c r="D146" s="126"/>
      <c r="E146" s="126"/>
      <c r="F146" s="161"/>
      <c r="G146" s="156">
        <f>G145-G142-G141+$AI148</f>
        <v>-8.621052631578948</v>
      </c>
      <c r="H146" s="157"/>
      <c r="I146" s="157"/>
      <c r="J146" s="158"/>
      <c r="K146" s="156">
        <f>K145-K142-K141+$AI148</f>
        <v>2.873684210526317</v>
      </c>
      <c r="L146" s="157"/>
      <c r="M146" s="157"/>
      <c r="N146" s="158"/>
      <c r="O146" s="156">
        <f>O145-O142-O141+$AI148</f>
        <v>2.873684210526317</v>
      </c>
      <c r="P146" s="157"/>
      <c r="Q146" s="157"/>
      <c r="R146" s="158"/>
      <c r="S146" s="156">
        <f>S145-S142-S141+$AI148</f>
        <v>2.873684210526317</v>
      </c>
      <c r="T146" s="157"/>
      <c r="U146" s="157"/>
      <c r="V146" s="158"/>
      <c r="W146" s="153">
        <f t="shared" si="6"/>
        <v>3.552713678800501E-15</v>
      </c>
      <c r="X146" s="154"/>
      <c r="Y146" s="154"/>
      <c r="Z146" s="159"/>
      <c r="AA146" s="101">
        <f>IF(G138&lt;G137,0,$T$3*G138/100)</f>
        <v>0</v>
      </c>
      <c r="AB146" s="101"/>
      <c r="AC146" s="101">
        <f>IF(K138&lt;K137,0,$T$3*K138/100)</f>
        <v>0</v>
      </c>
      <c r="AD146" s="101"/>
      <c r="AE146" s="101">
        <f>IF(O138&lt;O137,0,$T$3*O138/100)</f>
        <v>0</v>
      </c>
      <c r="AF146" s="101"/>
      <c r="AG146" s="101">
        <f>IF(S138&lt;S137,0,$T$3*S138/100)</f>
        <v>0</v>
      </c>
      <c r="AH146" s="101"/>
      <c r="AI146" s="97">
        <f>SUM(AA146:AH146)</f>
        <v>0</v>
      </c>
      <c r="AJ146" s="98"/>
      <c r="AK146" s="98"/>
      <c r="AL146" s="2" t="s">
        <v>248</v>
      </c>
    </row>
    <row r="147" spans="1:38" ht="12.75">
      <c r="A147" s="144"/>
      <c r="B147" s="125" t="s">
        <v>45</v>
      </c>
      <c r="C147" s="126"/>
      <c r="D147" s="126"/>
      <c r="E147" s="126"/>
      <c r="F147" s="161"/>
      <c r="G147" s="156">
        <f>G146+G144</f>
        <v>-8.621052631578948</v>
      </c>
      <c r="H147" s="157"/>
      <c r="I147" s="157"/>
      <c r="J147" s="158"/>
      <c r="K147" s="160">
        <f>K146+K144</f>
        <v>2.873684210526317</v>
      </c>
      <c r="L147" s="157"/>
      <c r="M147" s="157"/>
      <c r="N147" s="158"/>
      <c r="O147" s="156">
        <f>O146+O144</f>
        <v>2.873684210526317</v>
      </c>
      <c r="P147" s="157"/>
      <c r="Q147" s="157"/>
      <c r="R147" s="158"/>
      <c r="S147" s="160">
        <f>S146+S144</f>
        <v>2.873684210526317</v>
      </c>
      <c r="T147" s="157"/>
      <c r="U147" s="157"/>
      <c r="V147" s="158"/>
      <c r="W147" s="153">
        <f t="shared" si="6"/>
        <v>3.552713678800501E-15</v>
      </c>
      <c r="X147" s="154"/>
      <c r="Y147" s="154"/>
      <c r="Z147" s="155"/>
      <c r="AA147" s="101">
        <f>IF(G138&lt;G137,0,$T$4*G138/100)</f>
        <v>0</v>
      </c>
      <c r="AB147" s="101"/>
      <c r="AC147" s="101">
        <f>IF(K138&lt;K137,0,$T$4*K138/100)</f>
        <v>0</v>
      </c>
      <c r="AD147" s="101"/>
      <c r="AE147" s="101">
        <f>IF(O138&lt;O137,0,$T$4*O138/100)</f>
        <v>0</v>
      </c>
      <c r="AF147" s="101"/>
      <c r="AG147" s="101">
        <f>IF(S138&lt;S137,0,$T$4*S138/100)</f>
        <v>0</v>
      </c>
      <c r="AH147" s="101"/>
      <c r="AI147" s="97">
        <f>SUM(AA147:AH147)</f>
        <v>0</v>
      </c>
      <c r="AJ147" s="98"/>
      <c r="AK147" s="98"/>
      <c r="AL147" s="2" t="s">
        <v>281</v>
      </c>
    </row>
    <row r="148" spans="1:38" ht="12.75">
      <c r="A148" s="144"/>
      <c r="B148" s="194" t="s">
        <v>26</v>
      </c>
      <c r="C148" s="98"/>
      <c r="D148" s="98"/>
      <c r="E148" s="98"/>
      <c r="F148" s="195"/>
      <c r="G148" s="196">
        <f>$AG140/100*$AL$3</f>
        <v>0</v>
      </c>
      <c r="H148" s="197"/>
      <c r="I148" s="197"/>
      <c r="J148" s="198"/>
      <c r="K148" s="137">
        <f>$AG140/100*$AL$4</f>
        <v>0</v>
      </c>
      <c r="L148" s="138"/>
      <c r="M148" s="138"/>
      <c r="N148" s="139"/>
      <c r="O148" s="137">
        <f>$AG140/100*$AL$4</f>
        <v>0</v>
      </c>
      <c r="P148" s="138"/>
      <c r="Q148" s="138"/>
      <c r="R148" s="139"/>
      <c r="S148" s="137">
        <v>0</v>
      </c>
      <c r="T148" s="138"/>
      <c r="U148" s="138"/>
      <c r="V148" s="139"/>
      <c r="W148" s="153">
        <f t="shared" si="6"/>
        <v>0</v>
      </c>
      <c r="X148" s="154"/>
      <c r="Y148" s="154"/>
      <c r="Z148" s="155"/>
      <c r="AI148" s="224">
        <f>'ЦФУ Продажи'!AK$59</f>
        <v>0</v>
      </c>
      <c r="AJ148" s="224"/>
      <c r="AK148" s="224"/>
      <c r="AL148" s="2" t="s">
        <v>280</v>
      </c>
    </row>
    <row r="149" spans="1:38" ht="13.5" thickBot="1">
      <c r="A149" s="145"/>
      <c r="B149" s="191" t="s">
        <v>28</v>
      </c>
      <c r="C149" s="192"/>
      <c r="D149" s="192"/>
      <c r="E149" s="192"/>
      <c r="F149" s="193"/>
      <c r="G149" s="149">
        <f>IF(G148&lt;0,G141,G141+G148)</f>
        <v>29</v>
      </c>
      <c r="H149" s="147"/>
      <c r="I149" s="147"/>
      <c r="J149" s="148"/>
      <c r="K149" s="146">
        <f>IF(K148&lt;0,K141,K141+K148)</f>
        <v>27.599999999999998</v>
      </c>
      <c r="L149" s="147"/>
      <c r="M149" s="147"/>
      <c r="N149" s="148"/>
      <c r="O149" s="149">
        <f>IF(O148&lt;0,O141,O141+O148)</f>
        <v>27.599999999999998</v>
      </c>
      <c r="P149" s="147"/>
      <c r="Q149" s="147"/>
      <c r="R149" s="148"/>
      <c r="S149" s="146">
        <f>IF(S148&lt;0,S141,S141+S148)</f>
        <v>27.599999999999998</v>
      </c>
      <c r="T149" s="147"/>
      <c r="U149" s="147"/>
      <c r="V149" s="148"/>
      <c r="W149" s="150">
        <f t="shared" si="6"/>
        <v>111.79999999999998</v>
      </c>
      <c r="X149" s="151"/>
      <c r="Y149" s="151"/>
      <c r="Z149" s="152"/>
      <c r="AA149" s="101">
        <f>IF($AI145&gt;0,IF(AA145&gt;=0,0,G138*($T$2+$T$3+$T$5)/100-AA145),IF(G138&lt;G137,G138*($T$2+$T$3+$T$5)/100,AA145))</f>
        <v>0</v>
      </c>
      <c r="AB149" s="101"/>
      <c r="AC149" s="101">
        <f>IF($AI145&gt;=0,IF(AC145&gt;=0,0,K138*($T$2+$T$3+$T$4+$T$5)/100-AC145),IF(AC145&lt;0,K138*($T$2+$T$3+$T$4+$T$5)/100,AC145))</f>
        <v>0</v>
      </c>
      <c r="AD149" s="101"/>
      <c r="AE149" s="101">
        <f>IF($AI145&gt;=0,IF(AE145&gt;=0,0,O138*($T$2+$T$3+$T$4+$T$5)/100-AE145),IF(AE145&lt;0,O138*($T$2+$T$3+$T$4+$T$5)/100,AE145))</f>
        <v>0</v>
      </c>
      <c r="AF149" s="101"/>
      <c r="AG149" s="101">
        <f>IF($AI145&gt;=0,IF(AG145&gt;=0,0,S138*($T$2+$T$3+$T$4+$T$5)/100-AG145),IF(AG145&lt;0,S138*($T$2+$T$3+$T$4+$T$5)/100,AG145))</f>
        <v>0</v>
      </c>
      <c r="AH149" s="101"/>
      <c r="AI149" s="97">
        <f>SUM(AA149:AH149)</f>
        <v>0</v>
      </c>
      <c r="AJ149" s="98"/>
      <c r="AK149" s="98"/>
      <c r="AL149" s="2" t="s">
        <v>218</v>
      </c>
    </row>
  </sheetData>
  <mergeCells count="1401">
    <mergeCell ref="AJ140:AK140"/>
    <mergeCell ref="AL140:AM140"/>
    <mergeCell ref="AN140:AO140"/>
    <mergeCell ref="AP140:AQ140"/>
    <mergeCell ref="AJ139:AK139"/>
    <mergeCell ref="AL139:AM139"/>
    <mergeCell ref="AN139:AO139"/>
    <mergeCell ref="AP139:AQ139"/>
    <mergeCell ref="AJ127:AK127"/>
    <mergeCell ref="AL127:AM127"/>
    <mergeCell ref="AN127:AO127"/>
    <mergeCell ref="AP127:AQ127"/>
    <mergeCell ref="AJ126:AK126"/>
    <mergeCell ref="AL126:AM126"/>
    <mergeCell ref="AN126:AO126"/>
    <mergeCell ref="AP126:AQ126"/>
    <mergeCell ref="AJ114:AK114"/>
    <mergeCell ref="AL114:AM114"/>
    <mergeCell ref="AN114:AO114"/>
    <mergeCell ref="AP114:AQ114"/>
    <mergeCell ref="AJ113:AK113"/>
    <mergeCell ref="AL113:AM113"/>
    <mergeCell ref="AN113:AO113"/>
    <mergeCell ref="AP113:AQ113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J88:AK88"/>
    <mergeCell ref="AL88:AM88"/>
    <mergeCell ref="AN88:AO88"/>
    <mergeCell ref="AP88:AQ88"/>
    <mergeCell ref="AJ87:AK87"/>
    <mergeCell ref="AL87:AM87"/>
    <mergeCell ref="AN87:AO87"/>
    <mergeCell ref="AP87:AQ87"/>
    <mergeCell ref="AJ75:AK75"/>
    <mergeCell ref="AL75:AM75"/>
    <mergeCell ref="AN75:AO75"/>
    <mergeCell ref="AP75:AQ75"/>
    <mergeCell ref="AL62:AM62"/>
    <mergeCell ref="AN62:AO62"/>
    <mergeCell ref="AP62:AQ62"/>
    <mergeCell ref="AJ74:AK74"/>
    <mergeCell ref="AL74:AM74"/>
    <mergeCell ref="AN74:AO74"/>
    <mergeCell ref="AP74:AQ74"/>
    <mergeCell ref="AI68:AK68"/>
    <mergeCell ref="AG65:AI65"/>
    <mergeCell ref="AI67:AK67"/>
    <mergeCell ref="AP49:AQ49"/>
    <mergeCell ref="AJ61:AK61"/>
    <mergeCell ref="AL61:AM61"/>
    <mergeCell ref="AN61:AO61"/>
    <mergeCell ref="AP61:AQ61"/>
    <mergeCell ref="AI57:AK57"/>
    <mergeCell ref="AG49:AI49"/>
    <mergeCell ref="AI55:AK55"/>
    <mergeCell ref="AG36:AI36"/>
    <mergeCell ref="AG37:AI37"/>
    <mergeCell ref="AL49:AM49"/>
    <mergeCell ref="AN49:AO49"/>
    <mergeCell ref="AJ48:AK48"/>
    <mergeCell ref="AL48:AM48"/>
    <mergeCell ref="AN48:AO48"/>
    <mergeCell ref="AG41:AH41"/>
    <mergeCell ref="AI42:AK42"/>
    <mergeCell ref="AG38:AI38"/>
    <mergeCell ref="AP48:AQ48"/>
    <mergeCell ref="AL35:AM35"/>
    <mergeCell ref="AN35:AO35"/>
    <mergeCell ref="AP35:AQ35"/>
    <mergeCell ref="AL36:AM36"/>
    <mergeCell ref="AN36:AO36"/>
    <mergeCell ref="AP36:AQ36"/>
    <mergeCell ref="AJ23:AK23"/>
    <mergeCell ref="AL23:AM23"/>
    <mergeCell ref="AN23:AO23"/>
    <mergeCell ref="AP23:AQ23"/>
    <mergeCell ref="AJ22:AK22"/>
    <mergeCell ref="AL22:AM22"/>
    <mergeCell ref="AN22:AO22"/>
    <mergeCell ref="AP22:AQ22"/>
    <mergeCell ref="AJ10:AK10"/>
    <mergeCell ref="AL10:AM10"/>
    <mergeCell ref="AN10:AO10"/>
    <mergeCell ref="AP10:AQ10"/>
    <mergeCell ref="AJ9:AK9"/>
    <mergeCell ref="AL9:AM9"/>
    <mergeCell ref="AN9:AO9"/>
    <mergeCell ref="AP9:AQ9"/>
    <mergeCell ref="AI122:AK122"/>
    <mergeCell ref="AI135:AK135"/>
    <mergeCell ref="AI148:AK148"/>
    <mergeCell ref="AI70:AK70"/>
    <mergeCell ref="AI83:AK83"/>
    <mergeCell ref="AI96:AK96"/>
    <mergeCell ref="AI109:AK109"/>
    <mergeCell ref="AG88:AI88"/>
    <mergeCell ref="AG114:AI114"/>
    <mergeCell ref="AG127:AI127"/>
    <mergeCell ref="AG62:AI62"/>
    <mergeCell ref="AA40:AI40"/>
    <mergeCell ref="AJ36:AK36"/>
    <mergeCell ref="AJ49:AK49"/>
    <mergeCell ref="AJ62:AK62"/>
    <mergeCell ref="AA59:AF59"/>
    <mergeCell ref="AG59:AI59"/>
    <mergeCell ref="AA53:AI53"/>
    <mergeCell ref="AA51:AF51"/>
    <mergeCell ref="AG51:AI51"/>
    <mergeCell ref="AC69:AD69"/>
    <mergeCell ref="AE69:AF69"/>
    <mergeCell ref="AG69:AH69"/>
    <mergeCell ref="AI69:AK69"/>
    <mergeCell ref="A1:K1"/>
    <mergeCell ref="L1:M1"/>
    <mergeCell ref="N1:P1"/>
    <mergeCell ref="Q1:S1"/>
    <mergeCell ref="T1:V1"/>
    <mergeCell ref="W1:AG1"/>
    <mergeCell ref="AH1:AW1"/>
    <mergeCell ref="AX1:BA1"/>
    <mergeCell ref="A2:K2"/>
    <mergeCell ref="L2:M2"/>
    <mergeCell ref="N2:P2"/>
    <mergeCell ref="Q2:S2"/>
    <mergeCell ref="T2:V2"/>
    <mergeCell ref="W2:AG4"/>
    <mergeCell ref="AH2:AK2"/>
    <mergeCell ref="AL2:AO2"/>
    <mergeCell ref="AP2:AS2"/>
    <mergeCell ref="AT2:AW2"/>
    <mergeCell ref="AX2:BA4"/>
    <mergeCell ref="A3:K3"/>
    <mergeCell ref="L3:M3"/>
    <mergeCell ref="N3:P3"/>
    <mergeCell ref="Q3:S3"/>
    <mergeCell ref="T3:V3"/>
    <mergeCell ref="AH3:AK3"/>
    <mergeCell ref="AL3:AO3"/>
    <mergeCell ref="AP3:AS3"/>
    <mergeCell ref="AT3:AW3"/>
    <mergeCell ref="A4:K4"/>
    <mergeCell ref="L4:M4"/>
    <mergeCell ref="N4:P4"/>
    <mergeCell ref="Q4:S4"/>
    <mergeCell ref="T4:V4"/>
    <mergeCell ref="AH4:AK4"/>
    <mergeCell ref="AL4:AO4"/>
    <mergeCell ref="AP4:AS4"/>
    <mergeCell ref="AT4:AW4"/>
    <mergeCell ref="A6:F6"/>
    <mergeCell ref="G6:J6"/>
    <mergeCell ref="K6:N6"/>
    <mergeCell ref="O6:R6"/>
    <mergeCell ref="S6:V6"/>
    <mergeCell ref="W6:Z6"/>
    <mergeCell ref="AA6:AI6"/>
    <mergeCell ref="T5:V5"/>
    <mergeCell ref="Q5:S5"/>
    <mergeCell ref="A7:A19"/>
    <mergeCell ref="B7:F7"/>
    <mergeCell ref="G7:J7"/>
    <mergeCell ref="K7:N7"/>
    <mergeCell ref="B9:F9"/>
    <mergeCell ref="G9:J9"/>
    <mergeCell ref="K9:N9"/>
    <mergeCell ref="B11:F11"/>
    <mergeCell ref="G11:J11"/>
    <mergeCell ref="K11:N11"/>
    <mergeCell ref="O7:R7"/>
    <mergeCell ref="S7:V7"/>
    <mergeCell ref="W7:Z7"/>
    <mergeCell ref="AA7:AF7"/>
    <mergeCell ref="B8:F8"/>
    <mergeCell ref="G8:J8"/>
    <mergeCell ref="K8:N8"/>
    <mergeCell ref="O8:R8"/>
    <mergeCell ref="S9:V9"/>
    <mergeCell ref="W9:Z9"/>
    <mergeCell ref="AA9:AF9"/>
    <mergeCell ref="AG7:AI7"/>
    <mergeCell ref="S8:V8"/>
    <mergeCell ref="W8:Z8"/>
    <mergeCell ref="AA8:AF8"/>
    <mergeCell ref="AG8:AI8"/>
    <mergeCell ref="AG9:AI9"/>
    <mergeCell ref="B10:F10"/>
    <mergeCell ref="G10:J10"/>
    <mergeCell ref="K10:N10"/>
    <mergeCell ref="O10:R10"/>
    <mergeCell ref="O9:R9"/>
    <mergeCell ref="AG12:AI12"/>
    <mergeCell ref="O11:R11"/>
    <mergeCell ref="S11:V11"/>
    <mergeCell ref="W11:Z11"/>
    <mergeCell ref="AA11:AF11"/>
    <mergeCell ref="S10:V10"/>
    <mergeCell ref="W10:Z10"/>
    <mergeCell ref="AA10:AF10"/>
    <mergeCell ref="AG10:AI10"/>
    <mergeCell ref="K13:N13"/>
    <mergeCell ref="O13:R13"/>
    <mergeCell ref="AG11:AI11"/>
    <mergeCell ref="B12:F12"/>
    <mergeCell ref="G12:J12"/>
    <mergeCell ref="K12:N12"/>
    <mergeCell ref="O12:R12"/>
    <mergeCell ref="S12:V12"/>
    <mergeCell ref="W12:Z12"/>
    <mergeCell ref="AA12:AF12"/>
    <mergeCell ref="S13:V13"/>
    <mergeCell ref="W13:Z13"/>
    <mergeCell ref="B14:F14"/>
    <mergeCell ref="G14:J14"/>
    <mergeCell ref="K14:N14"/>
    <mergeCell ref="O14:R14"/>
    <mergeCell ref="S14:V14"/>
    <mergeCell ref="W14:Z14"/>
    <mergeCell ref="B13:F13"/>
    <mergeCell ref="G13:J13"/>
    <mergeCell ref="B15:F15"/>
    <mergeCell ref="G15:J15"/>
    <mergeCell ref="K15:N15"/>
    <mergeCell ref="O15:R15"/>
    <mergeCell ref="S17:V17"/>
    <mergeCell ref="W17:Z17"/>
    <mergeCell ref="B16:F16"/>
    <mergeCell ref="G16:J16"/>
    <mergeCell ref="K16:N16"/>
    <mergeCell ref="O16:R16"/>
    <mergeCell ref="S15:V15"/>
    <mergeCell ref="W15:Z15"/>
    <mergeCell ref="S16:V16"/>
    <mergeCell ref="W16:Z16"/>
    <mergeCell ref="S18:V18"/>
    <mergeCell ref="W18:Z18"/>
    <mergeCell ref="B17:F17"/>
    <mergeCell ref="G17:J17"/>
    <mergeCell ref="B18:F18"/>
    <mergeCell ref="G18:J18"/>
    <mergeCell ref="K18:N18"/>
    <mergeCell ref="O18:R18"/>
    <mergeCell ref="K17:N17"/>
    <mergeCell ref="O17:R17"/>
    <mergeCell ref="B19:F19"/>
    <mergeCell ref="G19:J19"/>
    <mergeCell ref="K19:N19"/>
    <mergeCell ref="O19:R19"/>
    <mergeCell ref="S19:V19"/>
    <mergeCell ref="W19:Z19"/>
    <mergeCell ref="A20:A32"/>
    <mergeCell ref="B20:F20"/>
    <mergeCell ref="G20:J20"/>
    <mergeCell ref="K20:N20"/>
    <mergeCell ref="O20:R20"/>
    <mergeCell ref="S20:V20"/>
    <mergeCell ref="W20:Z20"/>
    <mergeCell ref="B22:F22"/>
    <mergeCell ref="S21:V21"/>
    <mergeCell ref="W21:Z21"/>
    <mergeCell ref="AA21:AF21"/>
    <mergeCell ref="AG21:AI21"/>
    <mergeCell ref="B21:F21"/>
    <mergeCell ref="G21:J21"/>
    <mergeCell ref="K21:N21"/>
    <mergeCell ref="O21:R21"/>
    <mergeCell ref="G22:J22"/>
    <mergeCell ref="K22:N22"/>
    <mergeCell ref="O22:R22"/>
    <mergeCell ref="S22:V22"/>
    <mergeCell ref="W22:Z22"/>
    <mergeCell ref="AA22:AF22"/>
    <mergeCell ref="AG22:AI22"/>
    <mergeCell ref="B23:F23"/>
    <mergeCell ref="G23:J23"/>
    <mergeCell ref="K23:N23"/>
    <mergeCell ref="O23:R23"/>
    <mergeCell ref="S23:V23"/>
    <mergeCell ref="W23:Z23"/>
    <mergeCell ref="AA23:AF23"/>
    <mergeCell ref="S24:V24"/>
    <mergeCell ref="W24:Z24"/>
    <mergeCell ref="AA24:AF24"/>
    <mergeCell ref="AG24:AI24"/>
    <mergeCell ref="B24:F24"/>
    <mergeCell ref="G24:J24"/>
    <mergeCell ref="K24:N24"/>
    <mergeCell ref="O24:R24"/>
    <mergeCell ref="B25:F25"/>
    <mergeCell ref="G25:J25"/>
    <mergeCell ref="K25:N25"/>
    <mergeCell ref="O25:R25"/>
    <mergeCell ref="S25:V25"/>
    <mergeCell ref="W25:Z25"/>
    <mergeCell ref="S26:V26"/>
    <mergeCell ref="W26:Z26"/>
    <mergeCell ref="S27:V27"/>
    <mergeCell ref="W27:Z27"/>
    <mergeCell ref="B26:F26"/>
    <mergeCell ref="G26:J26"/>
    <mergeCell ref="B27:F27"/>
    <mergeCell ref="G27:J27"/>
    <mergeCell ref="K27:N27"/>
    <mergeCell ref="O27:R27"/>
    <mergeCell ref="K26:N26"/>
    <mergeCell ref="O26:R26"/>
    <mergeCell ref="B28:F28"/>
    <mergeCell ref="G28:J28"/>
    <mergeCell ref="K28:N28"/>
    <mergeCell ref="O28:R28"/>
    <mergeCell ref="S30:V30"/>
    <mergeCell ref="W30:Z30"/>
    <mergeCell ref="B29:F29"/>
    <mergeCell ref="G29:J29"/>
    <mergeCell ref="K29:N29"/>
    <mergeCell ref="O29:R29"/>
    <mergeCell ref="S28:V28"/>
    <mergeCell ref="W28:Z28"/>
    <mergeCell ref="S29:V29"/>
    <mergeCell ref="W29:Z29"/>
    <mergeCell ref="S31:V31"/>
    <mergeCell ref="W31:Z31"/>
    <mergeCell ref="B30:F30"/>
    <mergeCell ref="G30:J30"/>
    <mergeCell ref="B31:F31"/>
    <mergeCell ref="G31:J31"/>
    <mergeCell ref="K31:N31"/>
    <mergeCell ref="O31:R31"/>
    <mergeCell ref="K30:N30"/>
    <mergeCell ref="O30:R30"/>
    <mergeCell ref="B32:F32"/>
    <mergeCell ref="G32:J32"/>
    <mergeCell ref="K32:N32"/>
    <mergeCell ref="O32:R32"/>
    <mergeCell ref="S32:V32"/>
    <mergeCell ref="W32:Z32"/>
    <mergeCell ref="A33:A45"/>
    <mergeCell ref="B33:F33"/>
    <mergeCell ref="G33:J33"/>
    <mergeCell ref="K33:N33"/>
    <mergeCell ref="O33:R33"/>
    <mergeCell ref="S33:V33"/>
    <mergeCell ref="W33:Z33"/>
    <mergeCell ref="B35:F35"/>
    <mergeCell ref="S34:V34"/>
    <mergeCell ref="W34:Z34"/>
    <mergeCell ref="AA34:AF34"/>
    <mergeCell ref="AG34:AI34"/>
    <mergeCell ref="B34:F34"/>
    <mergeCell ref="G34:J34"/>
    <mergeCell ref="K34:N34"/>
    <mergeCell ref="O34:R34"/>
    <mergeCell ref="G35:J35"/>
    <mergeCell ref="K35:N35"/>
    <mergeCell ref="O35:R35"/>
    <mergeCell ref="S35:V35"/>
    <mergeCell ref="W35:Z35"/>
    <mergeCell ref="AA35:AF35"/>
    <mergeCell ref="AG35:AI35"/>
    <mergeCell ref="B36:F36"/>
    <mergeCell ref="G36:J36"/>
    <mergeCell ref="K36:N36"/>
    <mergeCell ref="O36:R36"/>
    <mergeCell ref="S36:V36"/>
    <mergeCell ref="W36:Z36"/>
    <mergeCell ref="AA36:AF36"/>
    <mergeCell ref="B37:F37"/>
    <mergeCell ref="G37:J37"/>
    <mergeCell ref="K37:N37"/>
    <mergeCell ref="O37:R37"/>
    <mergeCell ref="S38:V38"/>
    <mergeCell ref="W38:Z38"/>
    <mergeCell ref="S37:V37"/>
    <mergeCell ref="W37:Z37"/>
    <mergeCell ref="B38:F38"/>
    <mergeCell ref="G38:J38"/>
    <mergeCell ref="K38:N38"/>
    <mergeCell ref="O38:R38"/>
    <mergeCell ref="S39:V39"/>
    <mergeCell ref="W39:Z39"/>
    <mergeCell ref="S40:V40"/>
    <mergeCell ref="W40:Z40"/>
    <mergeCell ref="B39:F39"/>
    <mergeCell ref="G39:J39"/>
    <mergeCell ref="B40:F40"/>
    <mergeCell ref="G40:J40"/>
    <mergeCell ref="K40:N40"/>
    <mergeCell ref="O40:R40"/>
    <mergeCell ref="K39:N39"/>
    <mergeCell ref="O39:R39"/>
    <mergeCell ref="B41:F41"/>
    <mergeCell ref="G41:J41"/>
    <mergeCell ref="K41:N41"/>
    <mergeCell ref="O41:R41"/>
    <mergeCell ref="S43:V43"/>
    <mergeCell ref="W43:Z43"/>
    <mergeCell ref="B42:F42"/>
    <mergeCell ref="G42:J42"/>
    <mergeCell ref="K42:N42"/>
    <mergeCell ref="O42:R42"/>
    <mergeCell ref="S41:V41"/>
    <mergeCell ref="W41:Z41"/>
    <mergeCell ref="S42:V42"/>
    <mergeCell ref="W42:Z42"/>
    <mergeCell ref="S44:V44"/>
    <mergeCell ref="W44:Z44"/>
    <mergeCell ref="B43:F43"/>
    <mergeCell ref="G43:J43"/>
    <mergeCell ref="B44:F44"/>
    <mergeCell ref="G44:J44"/>
    <mergeCell ref="K44:N44"/>
    <mergeCell ref="O44:R44"/>
    <mergeCell ref="K43:N43"/>
    <mergeCell ref="O43:R43"/>
    <mergeCell ref="B45:F45"/>
    <mergeCell ref="G45:J45"/>
    <mergeCell ref="K45:N45"/>
    <mergeCell ref="O45:R45"/>
    <mergeCell ref="S45:V45"/>
    <mergeCell ref="W45:Z45"/>
    <mergeCell ref="A46:A58"/>
    <mergeCell ref="B46:F46"/>
    <mergeCell ref="G46:J46"/>
    <mergeCell ref="K46:N46"/>
    <mergeCell ref="O46:R46"/>
    <mergeCell ref="S46:V46"/>
    <mergeCell ref="W46:Z46"/>
    <mergeCell ref="B48:F48"/>
    <mergeCell ref="S47:V47"/>
    <mergeCell ref="W47:Z47"/>
    <mergeCell ref="AA47:AF47"/>
    <mergeCell ref="AG47:AI47"/>
    <mergeCell ref="B47:F47"/>
    <mergeCell ref="G47:J47"/>
    <mergeCell ref="K47:N47"/>
    <mergeCell ref="O47:R47"/>
    <mergeCell ref="G48:J48"/>
    <mergeCell ref="K48:N48"/>
    <mergeCell ref="O48:R48"/>
    <mergeCell ref="S48:V48"/>
    <mergeCell ref="W48:Z48"/>
    <mergeCell ref="AA48:AF48"/>
    <mergeCell ref="AG48:AI48"/>
    <mergeCell ref="B49:F49"/>
    <mergeCell ref="G49:J49"/>
    <mergeCell ref="K49:N49"/>
    <mergeCell ref="O49:R49"/>
    <mergeCell ref="S49:V49"/>
    <mergeCell ref="W49:Z49"/>
    <mergeCell ref="AA49:AF49"/>
    <mergeCell ref="S50:V50"/>
    <mergeCell ref="W50:Z50"/>
    <mergeCell ref="AA50:AF50"/>
    <mergeCell ref="AG50:AI50"/>
    <mergeCell ref="B50:F50"/>
    <mergeCell ref="G50:J50"/>
    <mergeCell ref="K50:N50"/>
    <mergeCell ref="O50:R50"/>
    <mergeCell ref="B51:F51"/>
    <mergeCell ref="G51:J51"/>
    <mergeCell ref="K51:N51"/>
    <mergeCell ref="O51:R51"/>
    <mergeCell ref="S51:V51"/>
    <mergeCell ref="W51:Z51"/>
    <mergeCell ref="S52:V52"/>
    <mergeCell ref="W52:Z52"/>
    <mergeCell ref="S53:V53"/>
    <mergeCell ref="W53:Z53"/>
    <mergeCell ref="B52:F52"/>
    <mergeCell ref="G52:J52"/>
    <mergeCell ref="B53:F53"/>
    <mergeCell ref="G53:J53"/>
    <mergeCell ref="K53:N53"/>
    <mergeCell ref="O53:R53"/>
    <mergeCell ref="K52:N52"/>
    <mergeCell ref="O52:R52"/>
    <mergeCell ref="B54:F54"/>
    <mergeCell ref="G54:J54"/>
    <mergeCell ref="K54:N54"/>
    <mergeCell ref="O54:R54"/>
    <mergeCell ref="S56:V56"/>
    <mergeCell ref="W56:Z56"/>
    <mergeCell ref="B55:F55"/>
    <mergeCell ref="G55:J55"/>
    <mergeCell ref="K55:N55"/>
    <mergeCell ref="O55:R55"/>
    <mergeCell ref="S54:V54"/>
    <mergeCell ref="W54:Z54"/>
    <mergeCell ref="S55:V55"/>
    <mergeCell ref="W55:Z55"/>
    <mergeCell ref="S57:V57"/>
    <mergeCell ref="W57:Z57"/>
    <mergeCell ref="B56:F56"/>
    <mergeCell ref="G56:J56"/>
    <mergeCell ref="B57:F57"/>
    <mergeCell ref="G57:J57"/>
    <mergeCell ref="K57:N57"/>
    <mergeCell ref="O57:R57"/>
    <mergeCell ref="K56:N56"/>
    <mergeCell ref="O56:R56"/>
    <mergeCell ref="B58:F58"/>
    <mergeCell ref="G58:J58"/>
    <mergeCell ref="K58:N58"/>
    <mergeCell ref="O58:R58"/>
    <mergeCell ref="S58:V58"/>
    <mergeCell ref="W58:Z58"/>
    <mergeCell ref="A59:A71"/>
    <mergeCell ref="B59:F59"/>
    <mergeCell ref="G59:J59"/>
    <mergeCell ref="K59:N59"/>
    <mergeCell ref="O59:R59"/>
    <mergeCell ref="S59:V59"/>
    <mergeCell ref="W59:Z59"/>
    <mergeCell ref="B61:F61"/>
    <mergeCell ref="B60:F60"/>
    <mergeCell ref="G60:J60"/>
    <mergeCell ref="K60:N60"/>
    <mergeCell ref="O60:R60"/>
    <mergeCell ref="S60:V60"/>
    <mergeCell ref="W60:Z60"/>
    <mergeCell ref="AA60:AF60"/>
    <mergeCell ref="AG60:AI60"/>
    <mergeCell ref="G61:J61"/>
    <mergeCell ref="K61:N61"/>
    <mergeCell ref="O61:R61"/>
    <mergeCell ref="S61:V61"/>
    <mergeCell ref="W61:Z61"/>
    <mergeCell ref="AA61:AF61"/>
    <mergeCell ref="AG61:AI61"/>
    <mergeCell ref="B62:F62"/>
    <mergeCell ref="G62:J62"/>
    <mergeCell ref="K62:N62"/>
    <mergeCell ref="O62:R62"/>
    <mergeCell ref="S62:V62"/>
    <mergeCell ref="W62:Z62"/>
    <mergeCell ref="AA62:AF62"/>
    <mergeCell ref="B63:F63"/>
    <mergeCell ref="G63:J63"/>
    <mergeCell ref="K63:N63"/>
    <mergeCell ref="O63:R63"/>
    <mergeCell ref="S63:V63"/>
    <mergeCell ref="W63:Z63"/>
    <mergeCell ref="AA63:AF63"/>
    <mergeCell ref="AG63:AI63"/>
    <mergeCell ref="AG64:AI64"/>
    <mergeCell ref="B64:F64"/>
    <mergeCell ref="G64:J64"/>
    <mergeCell ref="K64:N64"/>
    <mergeCell ref="O64:R64"/>
    <mergeCell ref="S64:V64"/>
    <mergeCell ref="W64:Z64"/>
    <mergeCell ref="S65:V65"/>
    <mergeCell ref="W65:Z65"/>
    <mergeCell ref="S66:V66"/>
    <mergeCell ref="W66:Z66"/>
    <mergeCell ref="B65:F65"/>
    <mergeCell ref="G65:J65"/>
    <mergeCell ref="B66:F66"/>
    <mergeCell ref="G66:J66"/>
    <mergeCell ref="K66:N66"/>
    <mergeCell ref="O66:R66"/>
    <mergeCell ref="K65:N65"/>
    <mergeCell ref="O65:R65"/>
    <mergeCell ref="B67:F67"/>
    <mergeCell ref="G67:J67"/>
    <mergeCell ref="K67:N67"/>
    <mergeCell ref="O67:R67"/>
    <mergeCell ref="S69:V69"/>
    <mergeCell ref="W69:Z69"/>
    <mergeCell ref="B68:F68"/>
    <mergeCell ref="G68:J68"/>
    <mergeCell ref="K68:N68"/>
    <mergeCell ref="O68:R68"/>
    <mergeCell ref="S67:V67"/>
    <mergeCell ref="W67:Z67"/>
    <mergeCell ref="S68:V68"/>
    <mergeCell ref="W68:Z68"/>
    <mergeCell ref="S70:V70"/>
    <mergeCell ref="W70:Z70"/>
    <mergeCell ref="B69:F69"/>
    <mergeCell ref="G69:J69"/>
    <mergeCell ref="B70:F70"/>
    <mergeCell ref="G70:J70"/>
    <mergeCell ref="K70:N70"/>
    <mergeCell ref="O70:R70"/>
    <mergeCell ref="K69:N69"/>
    <mergeCell ref="O69:R69"/>
    <mergeCell ref="B71:F71"/>
    <mergeCell ref="G71:J71"/>
    <mergeCell ref="K71:N71"/>
    <mergeCell ref="O71:R71"/>
    <mergeCell ref="S71:V71"/>
    <mergeCell ref="W71:Z71"/>
    <mergeCell ref="A72:A84"/>
    <mergeCell ref="B72:F72"/>
    <mergeCell ref="G72:J72"/>
    <mergeCell ref="K72:N72"/>
    <mergeCell ref="O72:R72"/>
    <mergeCell ref="S72:V72"/>
    <mergeCell ref="W72:Z72"/>
    <mergeCell ref="B74:F74"/>
    <mergeCell ref="S73:V73"/>
    <mergeCell ref="W73:Z73"/>
    <mergeCell ref="AA73:AF73"/>
    <mergeCell ref="AG73:AI73"/>
    <mergeCell ref="B73:F73"/>
    <mergeCell ref="G73:J73"/>
    <mergeCell ref="K73:N73"/>
    <mergeCell ref="O73:R73"/>
    <mergeCell ref="G74:J74"/>
    <mergeCell ref="K74:N74"/>
    <mergeCell ref="O74:R74"/>
    <mergeCell ref="S74:V74"/>
    <mergeCell ref="W74:Z74"/>
    <mergeCell ref="AA74:AF74"/>
    <mergeCell ref="AG74:AI74"/>
    <mergeCell ref="B75:F75"/>
    <mergeCell ref="G75:J75"/>
    <mergeCell ref="K75:N75"/>
    <mergeCell ref="O75:R75"/>
    <mergeCell ref="S75:V75"/>
    <mergeCell ref="W75:Z75"/>
    <mergeCell ref="AA75:AF75"/>
    <mergeCell ref="S76:V76"/>
    <mergeCell ref="W76:Z76"/>
    <mergeCell ref="AA76:AF76"/>
    <mergeCell ref="AG76:AI76"/>
    <mergeCell ref="B76:F76"/>
    <mergeCell ref="G76:J76"/>
    <mergeCell ref="K76:N76"/>
    <mergeCell ref="O76:R76"/>
    <mergeCell ref="B77:F77"/>
    <mergeCell ref="G77:J77"/>
    <mergeCell ref="K77:N77"/>
    <mergeCell ref="O77:R77"/>
    <mergeCell ref="S77:V77"/>
    <mergeCell ref="W77:Z77"/>
    <mergeCell ref="S78:V78"/>
    <mergeCell ref="W78:Z78"/>
    <mergeCell ref="S79:V79"/>
    <mergeCell ref="W79:Z79"/>
    <mergeCell ref="B78:F78"/>
    <mergeCell ref="G78:J78"/>
    <mergeCell ref="B79:F79"/>
    <mergeCell ref="G79:J79"/>
    <mergeCell ref="K79:N79"/>
    <mergeCell ref="O79:R79"/>
    <mergeCell ref="K78:N78"/>
    <mergeCell ref="O78:R78"/>
    <mergeCell ref="B80:F80"/>
    <mergeCell ref="G80:J80"/>
    <mergeCell ref="K80:N80"/>
    <mergeCell ref="O80:R80"/>
    <mergeCell ref="S82:V82"/>
    <mergeCell ref="W82:Z82"/>
    <mergeCell ref="B81:F81"/>
    <mergeCell ref="G81:J81"/>
    <mergeCell ref="K81:N81"/>
    <mergeCell ref="O81:R81"/>
    <mergeCell ref="S80:V80"/>
    <mergeCell ref="W80:Z80"/>
    <mergeCell ref="S81:V81"/>
    <mergeCell ref="W81:Z81"/>
    <mergeCell ref="S83:V83"/>
    <mergeCell ref="W83:Z83"/>
    <mergeCell ref="B82:F82"/>
    <mergeCell ref="G82:J82"/>
    <mergeCell ref="B83:F83"/>
    <mergeCell ref="G83:J83"/>
    <mergeCell ref="K83:N83"/>
    <mergeCell ref="O83:R83"/>
    <mergeCell ref="K82:N82"/>
    <mergeCell ref="O82:R82"/>
    <mergeCell ref="B84:F84"/>
    <mergeCell ref="G84:J84"/>
    <mergeCell ref="K84:N84"/>
    <mergeCell ref="O84:R84"/>
    <mergeCell ref="S84:V84"/>
    <mergeCell ref="W84:Z84"/>
    <mergeCell ref="A85:A97"/>
    <mergeCell ref="B85:F85"/>
    <mergeCell ref="G85:J85"/>
    <mergeCell ref="K85:N85"/>
    <mergeCell ref="O85:R85"/>
    <mergeCell ref="S85:V85"/>
    <mergeCell ref="W85:Z85"/>
    <mergeCell ref="B87:F87"/>
    <mergeCell ref="AA85:AF85"/>
    <mergeCell ref="AG85:AI85"/>
    <mergeCell ref="B86:F86"/>
    <mergeCell ref="G86:J86"/>
    <mergeCell ref="K86:N86"/>
    <mergeCell ref="O86:R86"/>
    <mergeCell ref="S86:V86"/>
    <mergeCell ref="W86:Z86"/>
    <mergeCell ref="AA86:AF86"/>
    <mergeCell ref="AG86:AI86"/>
    <mergeCell ref="G87:J87"/>
    <mergeCell ref="K87:N87"/>
    <mergeCell ref="O87:R87"/>
    <mergeCell ref="S87:V87"/>
    <mergeCell ref="W87:Z87"/>
    <mergeCell ref="AA87:AF87"/>
    <mergeCell ref="AG87:AI87"/>
    <mergeCell ref="B88:F88"/>
    <mergeCell ref="G88:J88"/>
    <mergeCell ref="K88:N88"/>
    <mergeCell ref="O88:R88"/>
    <mergeCell ref="S88:V88"/>
    <mergeCell ref="W88:Z88"/>
    <mergeCell ref="AA88:AF88"/>
    <mergeCell ref="AG89:AI89"/>
    <mergeCell ref="B89:F89"/>
    <mergeCell ref="G89:J89"/>
    <mergeCell ref="K89:N89"/>
    <mergeCell ref="O89:R89"/>
    <mergeCell ref="S90:V90"/>
    <mergeCell ref="W90:Z90"/>
    <mergeCell ref="S89:V89"/>
    <mergeCell ref="W89:Z89"/>
    <mergeCell ref="B90:F90"/>
    <mergeCell ref="G90:J90"/>
    <mergeCell ref="K90:N90"/>
    <mergeCell ref="O90:R90"/>
    <mergeCell ref="S91:V91"/>
    <mergeCell ref="W91:Z91"/>
    <mergeCell ref="S92:V92"/>
    <mergeCell ref="W92:Z92"/>
    <mergeCell ref="B91:F91"/>
    <mergeCell ref="G91:J91"/>
    <mergeCell ref="B92:F92"/>
    <mergeCell ref="G92:J92"/>
    <mergeCell ref="K92:N92"/>
    <mergeCell ref="O92:R92"/>
    <mergeCell ref="K91:N91"/>
    <mergeCell ref="O91:R91"/>
    <mergeCell ref="B93:F93"/>
    <mergeCell ref="G93:J93"/>
    <mergeCell ref="K93:N93"/>
    <mergeCell ref="O93:R93"/>
    <mergeCell ref="S95:V95"/>
    <mergeCell ref="W95:Z95"/>
    <mergeCell ref="B94:F94"/>
    <mergeCell ref="G94:J94"/>
    <mergeCell ref="K94:N94"/>
    <mergeCell ref="O94:R94"/>
    <mergeCell ref="S93:V93"/>
    <mergeCell ref="W93:Z93"/>
    <mergeCell ref="S94:V94"/>
    <mergeCell ref="W94:Z94"/>
    <mergeCell ref="S96:V96"/>
    <mergeCell ref="W96:Z96"/>
    <mergeCell ref="B95:F95"/>
    <mergeCell ref="G95:J95"/>
    <mergeCell ref="B96:F96"/>
    <mergeCell ref="G96:J96"/>
    <mergeCell ref="K96:N96"/>
    <mergeCell ref="O96:R96"/>
    <mergeCell ref="K95:N95"/>
    <mergeCell ref="O95:R95"/>
    <mergeCell ref="B97:F97"/>
    <mergeCell ref="G97:J97"/>
    <mergeCell ref="K97:N97"/>
    <mergeCell ref="O97:R97"/>
    <mergeCell ref="S97:V97"/>
    <mergeCell ref="W97:Z97"/>
    <mergeCell ref="A98:A110"/>
    <mergeCell ref="B98:F98"/>
    <mergeCell ref="G98:J98"/>
    <mergeCell ref="K98:N98"/>
    <mergeCell ref="O98:R98"/>
    <mergeCell ref="S98:V98"/>
    <mergeCell ref="W98:Z98"/>
    <mergeCell ref="B100:F100"/>
    <mergeCell ref="S99:V99"/>
    <mergeCell ref="W99:Z99"/>
    <mergeCell ref="AA99:AF99"/>
    <mergeCell ref="AG99:AI99"/>
    <mergeCell ref="B99:F99"/>
    <mergeCell ref="G99:J99"/>
    <mergeCell ref="K99:N99"/>
    <mergeCell ref="O99:R99"/>
    <mergeCell ref="G100:J100"/>
    <mergeCell ref="K100:N100"/>
    <mergeCell ref="O100:R100"/>
    <mergeCell ref="S100:V100"/>
    <mergeCell ref="W100:Z100"/>
    <mergeCell ref="AA100:AF100"/>
    <mergeCell ref="AG100:AI100"/>
    <mergeCell ref="B101:F101"/>
    <mergeCell ref="G101:J101"/>
    <mergeCell ref="K101:N101"/>
    <mergeCell ref="O101:R101"/>
    <mergeCell ref="S101:V101"/>
    <mergeCell ref="W101:Z101"/>
    <mergeCell ref="AA101:AF101"/>
    <mergeCell ref="S102:V102"/>
    <mergeCell ref="W102:Z102"/>
    <mergeCell ref="AA102:AF102"/>
    <mergeCell ref="AG102:AI102"/>
    <mergeCell ref="B102:F102"/>
    <mergeCell ref="G102:J102"/>
    <mergeCell ref="K102:N102"/>
    <mergeCell ref="O102:R102"/>
    <mergeCell ref="B103:F103"/>
    <mergeCell ref="G103:J103"/>
    <mergeCell ref="K103:N103"/>
    <mergeCell ref="O103:R103"/>
    <mergeCell ref="S103:V103"/>
    <mergeCell ref="W103:Z103"/>
    <mergeCell ref="S104:V104"/>
    <mergeCell ref="W104:Z104"/>
    <mergeCell ref="S105:V105"/>
    <mergeCell ref="W105:Z105"/>
    <mergeCell ref="B104:F104"/>
    <mergeCell ref="G104:J104"/>
    <mergeCell ref="B105:F105"/>
    <mergeCell ref="G105:J105"/>
    <mergeCell ref="K105:N105"/>
    <mergeCell ref="O105:R105"/>
    <mergeCell ref="K104:N104"/>
    <mergeCell ref="O104:R104"/>
    <mergeCell ref="B106:F106"/>
    <mergeCell ref="G106:J106"/>
    <mergeCell ref="K106:N106"/>
    <mergeCell ref="O106:R106"/>
    <mergeCell ref="S108:V108"/>
    <mergeCell ref="W108:Z108"/>
    <mergeCell ref="B107:F107"/>
    <mergeCell ref="G107:J107"/>
    <mergeCell ref="K107:N107"/>
    <mergeCell ref="O107:R107"/>
    <mergeCell ref="S106:V106"/>
    <mergeCell ref="W106:Z106"/>
    <mergeCell ref="S107:V107"/>
    <mergeCell ref="W107:Z107"/>
    <mergeCell ref="S109:V109"/>
    <mergeCell ref="W109:Z109"/>
    <mergeCell ref="B108:F108"/>
    <mergeCell ref="G108:J108"/>
    <mergeCell ref="B109:F109"/>
    <mergeCell ref="G109:J109"/>
    <mergeCell ref="K109:N109"/>
    <mergeCell ref="O109:R109"/>
    <mergeCell ref="K108:N108"/>
    <mergeCell ref="O108:R108"/>
    <mergeCell ref="B110:F110"/>
    <mergeCell ref="G110:J110"/>
    <mergeCell ref="K110:N110"/>
    <mergeCell ref="O110:R110"/>
    <mergeCell ref="S110:V110"/>
    <mergeCell ref="W110:Z110"/>
    <mergeCell ref="A111:A123"/>
    <mergeCell ref="B111:F111"/>
    <mergeCell ref="G111:J111"/>
    <mergeCell ref="K111:N111"/>
    <mergeCell ref="O111:R111"/>
    <mergeCell ref="S111:V111"/>
    <mergeCell ref="W111:Z111"/>
    <mergeCell ref="B113:F113"/>
    <mergeCell ref="AA111:AF111"/>
    <mergeCell ref="AG111:AI111"/>
    <mergeCell ref="B112:F112"/>
    <mergeCell ref="G112:J112"/>
    <mergeCell ref="K112:N112"/>
    <mergeCell ref="O112:R112"/>
    <mergeCell ref="S112:V112"/>
    <mergeCell ref="W112:Z112"/>
    <mergeCell ref="AA112:AF112"/>
    <mergeCell ref="AG112:AI112"/>
    <mergeCell ref="G113:J113"/>
    <mergeCell ref="K113:N113"/>
    <mergeCell ref="O113:R113"/>
    <mergeCell ref="S113:V113"/>
    <mergeCell ref="W113:Z113"/>
    <mergeCell ref="AA113:AF113"/>
    <mergeCell ref="AG113:AI113"/>
    <mergeCell ref="B114:F114"/>
    <mergeCell ref="G114:J114"/>
    <mergeCell ref="K114:N114"/>
    <mergeCell ref="O114:R114"/>
    <mergeCell ref="S114:V114"/>
    <mergeCell ref="W114:Z114"/>
    <mergeCell ref="AA114:AF114"/>
    <mergeCell ref="AA115:AF115"/>
    <mergeCell ref="AG115:AI115"/>
    <mergeCell ref="B115:F115"/>
    <mergeCell ref="G115:J115"/>
    <mergeCell ref="K115:N115"/>
    <mergeCell ref="O115:R115"/>
    <mergeCell ref="S116:V116"/>
    <mergeCell ref="W116:Z116"/>
    <mergeCell ref="S115:V115"/>
    <mergeCell ref="W115:Z115"/>
    <mergeCell ref="B116:F116"/>
    <mergeCell ref="G116:J116"/>
    <mergeCell ref="K116:N116"/>
    <mergeCell ref="O116:R116"/>
    <mergeCell ref="S117:V117"/>
    <mergeCell ref="W117:Z117"/>
    <mergeCell ref="S118:V118"/>
    <mergeCell ref="W118:Z118"/>
    <mergeCell ref="B117:F117"/>
    <mergeCell ref="G117:J117"/>
    <mergeCell ref="B118:F118"/>
    <mergeCell ref="G118:J118"/>
    <mergeCell ref="K118:N118"/>
    <mergeCell ref="O118:R118"/>
    <mergeCell ref="K117:N117"/>
    <mergeCell ref="O117:R117"/>
    <mergeCell ref="B119:F119"/>
    <mergeCell ref="G119:J119"/>
    <mergeCell ref="K119:N119"/>
    <mergeCell ref="O119:R119"/>
    <mergeCell ref="S121:V121"/>
    <mergeCell ref="W121:Z121"/>
    <mergeCell ref="B120:F120"/>
    <mergeCell ref="G120:J120"/>
    <mergeCell ref="K120:N120"/>
    <mergeCell ref="O120:R120"/>
    <mergeCell ref="S119:V119"/>
    <mergeCell ref="W119:Z119"/>
    <mergeCell ref="S120:V120"/>
    <mergeCell ref="W120:Z120"/>
    <mergeCell ref="S122:V122"/>
    <mergeCell ref="W122:Z122"/>
    <mergeCell ref="B121:F121"/>
    <mergeCell ref="G121:J121"/>
    <mergeCell ref="B122:F122"/>
    <mergeCell ref="G122:J122"/>
    <mergeCell ref="K122:N122"/>
    <mergeCell ref="O122:R122"/>
    <mergeCell ref="K121:N121"/>
    <mergeCell ref="O121:R121"/>
    <mergeCell ref="B123:F123"/>
    <mergeCell ref="G123:J123"/>
    <mergeCell ref="K123:N123"/>
    <mergeCell ref="O123:R123"/>
    <mergeCell ref="S123:V123"/>
    <mergeCell ref="W123:Z123"/>
    <mergeCell ref="A124:A136"/>
    <mergeCell ref="B124:F124"/>
    <mergeCell ref="G124:J124"/>
    <mergeCell ref="K124:N124"/>
    <mergeCell ref="O124:R124"/>
    <mergeCell ref="S124:V124"/>
    <mergeCell ref="W124:Z124"/>
    <mergeCell ref="B126:F126"/>
    <mergeCell ref="AA124:AF124"/>
    <mergeCell ref="AG124:AI124"/>
    <mergeCell ref="B125:F125"/>
    <mergeCell ref="G125:J125"/>
    <mergeCell ref="K125:N125"/>
    <mergeCell ref="O125:R125"/>
    <mergeCell ref="S125:V125"/>
    <mergeCell ref="W125:Z125"/>
    <mergeCell ref="AA125:AF125"/>
    <mergeCell ref="AG125:AI125"/>
    <mergeCell ref="G126:J126"/>
    <mergeCell ref="K126:N126"/>
    <mergeCell ref="O126:R126"/>
    <mergeCell ref="S126:V126"/>
    <mergeCell ref="W126:Z126"/>
    <mergeCell ref="AA126:AF126"/>
    <mergeCell ref="AG126:AI126"/>
    <mergeCell ref="B127:F127"/>
    <mergeCell ref="G127:J127"/>
    <mergeCell ref="K127:N127"/>
    <mergeCell ref="O127:R127"/>
    <mergeCell ref="S127:V127"/>
    <mergeCell ref="W127:Z127"/>
    <mergeCell ref="AA127:AF127"/>
    <mergeCell ref="AA128:AF128"/>
    <mergeCell ref="AG128:AI128"/>
    <mergeCell ref="B128:F128"/>
    <mergeCell ref="G128:J128"/>
    <mergeCell ref="K128:N128"/>
    <mergeCell ref="O128:R128"/>
    <mergeCell ref="S129:V129"/>
    <mergeCell ref="W129:Z129"/>
    <mergeCell ref="S128:V128"/>
    <mergeCell ref="W128:Z128"/>
    <mergeCell ref="B129:F129"/>
    <mergeCell ref="G129:J129"/>
    <mergeCell ref="K129:N129"/>
    <mergeCell ref="O129:R129"/>
    <mergeCell ref="S130:V130"/>
    <mergeCell ref="W130:Z130"/>
    <mergeCell ref="S131:V131"/>
    <mergeCell ref="W131:Z131"/>
    <mergeCell ref="B130:F130"/>
    <mergeCell ref="G130:J130"/>
    <mergeCell ref="B131:F131"/>
    <mergeCell ref="G131:J131"/>
    <mergeCell ref="K131:N131"/>
    <mergeCell ref="O131:R131"/>
    <mergeCell ref="K130:N130"/>
    <mergeCell ref="O130:R130"/>
    <mergeCell ref="B132:F132"/>
    <mergeCell ref="G132:J132"/>
    <mergeCell ref="K132:N132"/>
    <mergeCell ref="O132:R132"/>
    <mergeCell ref="S134:V134"/>
    <mergeCell ref="W134:Z134"/>
    <mergeCell ref="B133:F133"/>
    <mergeCell ref="G133:J133"/>
    <mergeCell ref="K133:N133"/>
    <mergeCell ref="O133:R133"/>
    <mergeCell ref="S132:V132"/>
    <mergeCell ref="W132:Z132"/>
    <mergeCell ref="S133:V133"/>
    <mergeCell ref="W133:Z133"/>
    <mergeCell ref="S135:V135"/>
    <mergeCell ref="W135:Z135"/>
    <mergeCell ref="B134:F134"/>
    <mergeCell ref="G134:J134"/>
    <mergeCell ref="B135:F135"/>
    <mergeCell ref="G135:J135"/>
    <mergeCell ref="K135:N135"/>
    <mergeCell ref="O135:R135"/>
    <mergeCell ref="K134:N134"/>
    <mergeCell ref="O134:R134"/>
    <mergeCell ref="B136:F136"/>
    <mergeCell ref="G136:J136"/>
    <mergeCell ref="K136:N136"/>
    <mergeCell ref="O136:R136"/>
    <mergeCell ref="S136:V136"/>
    <mergeCell ref="W136:Z136"/>
    <mergeCell ref="A137:A149"/>
    <mergeCell ref="B137:F137"/>
    <mergeCell ref="G137:J137"/>
    <mergeCell ref="K137:N137"/>
    <mergeCell ref="O137:R137"/>
    <mergeCell ref="S137:V137"/>
    <mergeCell ref="W137:Z137"/>
    <mergeCell ref="B139:F139"/>
    <mergeCell ref="S138:V138"/>
    <mergeCell ref="W138:Z138"/>
    <mergeCell ref="AA138:AF138"/>
    <mergeCell ref="AG138:AI138"/>
    <mergeCell ref="B138:F138"/>
    <mergeCell ref="G138:J138"/>
    <mergeCell ref="K138:N138"/>
    <mergeCell ref="O138:R138"/>
    <mergeCell ref="G139:J139"/>
    <mergeCell ref="K139:N139"/>
    <mergeCell ref="O139:R139"/>
    <mergeCell ref="S139:V139"/>
    <mergeCell ref="W139:Z139"/>
    <mergeCell ref="AA139:AF139"/>
    <mergeCell ref="AG139:AI139"/>
    <mergeCell ref="B140:F140"/>
    <mergeCell ref="G140:J140"/>
    <mergeCell ref="K140:N140"/>
    <mergeCell ref="O140:R140"/>
    <mergeCell ref="S140:V140"/>
    <mergeCell ref="W140:Z140"/>
    <mergeCell ref="AA140:AF140"/>
    <mergeCell ref="S141:V141"/>
    <mergeCell ref="W141:Z141"/>
    <mergeCell ref="AA141:AF141"/>
    <mergeCell ref="AG141:AI141"/>
    <mergeCell ref="B141:F141"/>
    <mergeCell ref="G141:J141"/>
    <mergeCell ref="K141:N141"/>
    <mergeCell ref="O141:R141"/>
    <mergeCell ref="B142:F142"/>
    <mergeCell ref="G142:J142"/>
    <mergeCell ref="K142:N142"/>
    <mergeCell ref="O142:R142"/>
    <mergeCell ref="S142:V142"/>
    <mergeCell ref="W142:Z142"/>
    <mergeCell ref="S143:V143"/>
    <mergeCell ref="W143:Z143"/>
    <mergeCell ref="S144:V144"/>
    <mergeCell ref="W144:Z144"/>
    <mergeCell ref="B143:F143"/>
    <mergeCell ref="G143:J143"/>
    <mergeCell ref="B144:F144"/>
    <mergeCell ref="G144:J144"/>
    <mergeCell ref="K144:N144"/>
    <mergeCell ref="O144:R144"/>
    <mergeCell ref="K143:N143"/>
    <mergeCell ref="O143:R143"/>
    <mergeCell ref="B145:F145"/>
    <mergeCell ref="G145:J145"/>
    <mergeCell ref="K145:N145"/>
    <mergeCell ref="O145:R145"/>
    <mergeCell ref="S147:V147"/>
    <mergeCell ref="W147:Z147"/>
    <mergeCell ref="B146:F146"/>
    <mergeCell ref="G146:J146"/>
    <mergeCell ref="K146:N146"/>
    <mergeCell ref="O146:R146"/>
    <mergeCell ref="B147:F147"/>
    <mergeCell ref="G147:J147"/>
    <mergeCell ref="S146:V146"/>
    <mergeCell ref="W146:Z146"/>
    <mergeCell ref="K148:N148"/>
    <mergeCell ref="O148:R148"/>
    <mergeCell ref="K147:N147"/>
    <mergeCell ref="O147:R147"/>
    <mergeCell ref="B148:F148"/>
    <mergeCell ref="G148:J148"/>
    <mergeCell ref="B149:F149"/>
    <mergeCell ref="G149:J149"/>
    <mergeCell ref="K149:N149"/>
    <mergeCell ref="O149:R149"/>
    <mergeCell ref="AC28:AD28"/>
    <mergeCell ref="AA38:AF38"/>
    <mergeCell ref="S149:V149"/>
    <mergeCell ref="W149:Z149"/>
    <mergeCell ref="S148:V148"/>
    <mergeCell ref="W148:Z148"/>
    <mergeCell ref="S145:V145"/>
    <mergeCell ref="W145:Z145"/>
    <mergeCell ref="AI18:AK18"/>
    <mergeCell ref="AI16:AK16"/>
    <mergeCell ref="AI17:AK17"/>
    <mergeCell ref="AA14:AI14"/>
    <mergeCell ref="AA16:AB16"/>
    <mergeCell ref="AG16:AH16"/>
    <mergeCell ref="AA17:AB17"/>
    <mergeCell ref="AC17:AD17"/>
    <mergeCell ref="AA15:AB15"/>
    <mergeCell ref="AC15:AD15"/>
    <mergeCell ref="AG68:AH68"/>
    <mergeCell ref="AA71:AB71"/>
    <mergeCell ref="AA69:AB69"/>
    <mergeCell ref="AG17:AH17"/>
    <mergeCell ref="AA27:AI27"/>
    <mergeCell ref="AA25:AF25"/>
    <mergeCell ref="AG25:AI25"/>
    <mergeCell ref="AG23:AI23"/>
    <mergeCell ref="AG20:AI20"/>
    <mergeCell ref="AA64:AF64"/>
    <mergeCell ref="AG77:AI77"/>
    <mergeCell ref="AG75:AI75"/>
    <mergeCell ref="AA72:AF72"/>
    <mergeCell ref="AG72:AI72"/>
    <mergeCell ref="AA98:AF98"/>
    <mergeCell ref="AG98:AI98"/>
    <mergeCell ref="AA95:AB95"/>
    <mergeCell ref="AI95:AK95"/>
    <mergeCell ref="AI97:AK97"/>
    <mergeCell ref="AE97:AF97"/>
    <mergeCell ref="AG97:AH97"/>
    <mergeCell ref="AA97:AB97"/>
    <mergeCell ref="AA105:AI105"/>
    <mergeCell ref="AA103:AF103"/>
    <mergeCell ref="AG103:AI103"/>
    <mergeCell ref="AG101:AI101"/>
    <mergeCell ref="AA144:AI144"/>
    <mergeCell ref="AA118:AI118"/>
    <mergeCell ref="AA131:AI131"/>
    <mergeCell ref="AA142:AF142"/>
    <mergeCell ref="AG142:AI142"/>
    <mergeCell ref="AG140:AI140"/>
    <mergeCell ref="AA137:AF137"/>
    <mergeCell ref="AG137:AI137"/>
    <mergeCell ref="AA129:AF129"/>
    <mergeCell ref="AG129:AI129"/>
    <mergeCell ref="AI29:AK29"/>
    <mergeCell ref="AE28:AF28"/>
    <mergeCell ref="AG28:AH28"/>
    <mergeCell ref="AI28:AK28"/>
    <mergeCell ref="AE29:AF29"/>
    <mergeCell ref="AG29:AH29"/>
    <mergeCell ref="AA42:AB42"/>
    <mergeCell ref="AC42:AD42"/>
    <mergeCell ref="AA20:AF20"/>
    <mergeCell ref="AC16:AD16"/>
    <mergeCell ref="AE16:AF16"/>
    <mergeCell ref="AA28:AB28"/>
    <mergeCell ref="AA29:AB29"/>
    <mergeCell ref="AC29:AD29"/>
    <mergeCell ref="AE17:AF17"/>
    <mergeCell ref="AE41:AF41"/>
    <mergeCell ref="AA30:AB30"/>
    <mergeCell ref="AC30:AD30"/>
    <mergeCell ref="AE30:AF30"/>
    <mergeCell ref="AG30:AH30"/>
    <mergeCell ref="AA37:AF37"/>
    <mergeCell ref="AG33:AI33"/>
    <mergeCell ref="AI32:AK32"/>
    <mergeCell ref="AG56:AH56"/>
    <mergeCell ref="AC43:AD43"/>
    <mergeCell ref="AE43:AF43"/>
    <mergeCell ref="AG43:AH43"/>
    <mergeCell ref="AA46:AF46"/>
    <mergeCell ref="AG46:AI46"/>
    <mergeCell ref="AA43:AB43"/>
    <mergeCell ref="AI44:AK44"/>
    <mergeCell ref="AC68:AD68"/>
    <mergeCell ref="AE68:AF68"/>
    <mergeCell ref="AI56:AK56"/>
    <mergeCell ref="AG58:AH58"/>
    <mergeCell ref="AI45:AK45"/>
    <mergeCell ref="AA52:AF52"/>
    <mergeCell ref="AG52:AI52"/>
    <mergeCell ref="AA54:AB54"/>
    <mergeCell ref="AC54:AD54"/>
    <mergeCell ref="AA55:AB55"/>
    <mergeCell ref="AC55:AD55"/>
    <mergeCell ref="AE55:AF55"/>
    <mergeCell ref="AG55:AH55"/>
    <mergeCell ref="AG81:AH81"/>
    <mergeCell ref="AA56:AB56"/>
    <mergeCell ref="AC56:AD56"/>
    <mergeCell ref="AE56:AF56"/>
    <mergeCell ref="AE58:AF58"/>
    <mergeCell ref="AA65:AF65"/>
    <mergeCell ref="AA58:AB58"/>
    <mergeCell ref="AC58:AD58"/>
    <mergeCell ref="AE71:AF71"/>
    <mergeCell ref="AA66:AI66"/>
    <mergeCell ref="AI81:AK81"/>
    <mergeCell ref="AA68:AB68"/>
    <mergeCell ref="AC71:AD71"/>
    <mergeCell ref="AA79:AI79"/>
    <mergeCell ref="AA77:AF77"/>
    <mergeCell ref="AG71:AH71"/>
    <mergeCell ref="AI71:AK71"/>
    <mergeCell ref="AA81:AB81"/>
    <mergeCell ref="AC81:AD81"/>
    <mergeCell ref="AE81:AF81"/>
    <mergeCell ref="AG106:AH106"/>
    <mergeCell ref="AI82:AK82"/>
    <mergeCell ref="AA94:AB94"/>
    <mergeCell ref="AC94:AD94"/>
    <mergeCell ref="AE94:AF94"/>
    <mergeCell ref="AG94:AH94"/>
    <mergeCell ref="AI94:AK94"/>
    <mergeCell ref="AA82:AB82"/>
    <mergeCell ref="AE82:AF82"/>
    <mergeCell ref="AA92:AI92"/>
    <mergeCell ref="AI107:AK107"/>
    <mergeCell ref="AA108:AB108"/>
    <mergeCell ref="AC108:AD108"/>
    <mergeCell ref="AE108:AF108"/>
    <mergeCell ref="AG108:AH108"/>
    <mergeCell ref="AI108:AK108"/>
    <mergeCell ref="AA107:AB107"/>
    <mergeCell ref="AC107:AD107"/>
    <mergeCell ref="AE107:AF107"/>
    <mergeCell ref="AG107:AH107"/>
    <mergeCell ref="AI120:AK120"/>
    <mergeCell ref="AA121:AB121"/>
    <mergeCell ref="AC121:AD121"/>
    <mergeCell ref="AE121:AF121"/>
    <mergeCell ref="AG121:AH121"/>
    <mergeCell ref="AI121:AK121"/>
    <mergeCell ref="AA120:AB120"/>
    <mergeCell ref="AC120:AD120"/>
    <mergeCell ref="AE120:AF120"/>
    <mergeCell ref="AA133:AB133"/>
    <mergeCell ref="AC133:AD133"/>
    <mergeCell ref="AE133:AF133"/>
    <mergeCell ref="AG133:AH133"/>
    <mergeCell ref="AI147:AK147"/>
    <mergeCell ref="AA146:AB146"/>
    <mergeCell ref="AC146:AD146"/>
    <mergeCell ref="AE146:AF146"/>
    <mergeCell ref="AG146:AH146"/>
    <mergeCell ref="AA147:AB147"/>
    <mergeCell ref="AC147:AD147"/>
    <mergeCell ref="AE147:AF147"/>
    <mergeCell ref="AG147:AH147"/>
    <mergeCell ref="AA13:AF13"/>
    <mergeCell ref="AG13:AI13"/>
    <mergeCell ref="AQ130:AR130"/>
    <mergeCell ref="AI146:AK146"/>
    <mergeCell ref="AI133:AK133"/>
    <mergeCell ref="AA134:AB134"/>
    <mergeCell ref="AC134:AD134"/>
    <mergeCell ref="AE134:AF134"/>
    <mergeCell ref="AG134:AH134"/>
    <mergeCell ref="AI134:AK134"/>
    <mergeCell ref="AA26:AF26"/>
    <mergeCell ref="AG26:AI26"/>
    <mergeCell ref="AI15:AK15"/>
    <mergeCell ref="AA19:AB19"/>
    <mergeCell ref="AC19:AD19"/>
    <mergeCell ref="AE19:AF19"/>
    <mergeCell ref="AG19:AH19"/>
    <mergeCell ref="AI19:AK19"/>
    <mergeCell ref="AE15:AF15"/>
    <mergeCell ref="AG15:AH15"/>
    <mergeCell ref="AI30:AK30"/>
    <mergeCell ref="AI31:AK31"/>
    <mergeCell ref="AA39:AF39"/>
    <mergeCell ref="AG39:AI39"/>
    <mergeCell ref="AA32:AB32"/>
    <mergeCell ref="AC32:AD32"/>
    <mergeCell ref="AE32:AF32"/>
    <mergeCell ref="AG32:AH32"/>
    <mergeCell ref="AA33:AF33"/>
    <mergeCell ref="AJ35:AK35"/>
    <mergeCell ref="AI41:AK41"/>
    <mergeCell ref="AA45:AB45"/>
    <mergeCell ref="AC45:AD45"/>
    <mergeCell ref="AE45:AF45"/>
    <mergeCell ref="AG45:AH45"/>
    <mergeCell ref="AI43:AK43"/>
    <mergeCell ref="AE42:AF42"/>
    <mergeCell ref="AG42:AH42"/>
    <mergeCell ref="AA41:AB41"/>
    <mergeCell ref="AC41:AD41"/>
    <mergeCell ref="AE54:AF54"/>
    <mergeCell ref="AG54:AH54"/>
    <mergeCell ref="AI54:AK54"/>
    <mergeCell ref="AI58:AK58"/>
    <mergeCell ref="AA67:AB67"/>
    <mergeCell ref="AC67:AD67"/>
    <mergeCell ref="AE67:AF67"/>
    <mergeCell ref="AG67:AH67"/>
    <mergeCell ref="AA78:AF78"/>
    <mergeCell ref="AG78:AI78"/>
    <mergeCell ref="AA80:AB80"/>
    <mergeCell ref="AC80:AD80"/>
    <mergeCell ref="AE80:AF80"/>
    <mergeCell ref="AG80:AH80"/>
    <mergeCell ref="AI80:AK80"/>
    <mergeCell ref="AI84:AK84"/>
    <mergeCell ref="AA91:AF91"/>
    <mergeCell ref="AG91:AI91"/>
    <mergeCell ref="AC82:AD82"/>
    <mergeCell ref="AA84:AB84"/>
    <mergeCell ref="AG82:AH82"/>
    <mergeCell ref="AA90:AF90"/>
    <mergeCell ref="AG90:AI90"/>
    <mergeCell ref="AG84:AH84"/>
    <mergeCell ref="AA89:AF89"/>
    <mergeCell ref="AA93:AB93"/>
    <mergeCell ref="AC93:AD93"/>
    <mergeCell ref="AE93:AF93"/>
    <mergeCell ref="AG93:AH93"/>
    <mergeCell ref="AI93:AK93"/>
    <mergeCell ref="AC84:AD84"/>
    <mergeCell ref="AE84:AF84"/>
    <mergeCell ref="AI106:AK106"/>
    <mergeCell ref="AC97:AD97"/>
    <mergeCell ref="AC95:AD95"/>
    <mergeCell ref="AE95:AF95"/>
    <mergeCell ref="AG95:AH95"/>
    <mergeCell ref="AA104:AF104"/>
    <mergeCell ref="AG104:AI104"/>
    <mergeCell ref="AA106:AB106"/>
    <mergeCell ref="AC106:AD106"/>
    <mergeCell ref="AE123:AF123"/>
    <mergeCell ref="AG123:AH123"/>
    <mergeCell ref="AA110:AB110"/>
    <mergeCell ref="AC110:AD110"/>
    <mergeCell ref="AE110:AF110"/>
    <mergeCell ref="AG110:AH110"/>
    <mergeCell ref="AG120:AH120"/>
    <mergeCell ref="AE106:AF106"/>
    <mergeCell ref="AI110:AK110"/>
    <mergeCell ref="AA117:AF117"/>
    <mergeCell ref="AG117:AI117"/>
    <mergeCell ref="AA119:AB119"/>
    <mergeCell ref="AC119:AD119"/>
    <mergeCell ref="AE119:AF119"/>
    <mergeCell ref="AG119:AH119"/>
    <mergeCell ref="AI119:AK119"/>
    <mergeCell ref="AA116:AF116"/>
    <mergeCell ref="AG116:AI116"/>
    <mergeCell ref="AI123:AK123"/>
    <mergeCell ref="AA130:AF130"/>
    <mergeCell ref="AG130:AI130"/>
    <mergeCell ref="AA132:AB132"/>
    <mergeCell ref="AC132:AD132"/>
    <mergeCell ref="AE132:AF132"/>
    <mergeCell ref="AG132:AH132"/>
    <mergeCell ref="AI132:AK132"/>
    <mergeCell ref="AA123:AB123"/>
    <mergeCell ref="AC123:AD123"/>
    <mergeCell ref="AA136:AB136"/>
    <mergeCell ref="AC136:AD136"/>
    <mergeCell ref="AE136:AF136"/>
    <mergeCell ref="AG136:AH136"/>
    <mergeCell ref="AC145:AD145"/>
    <mergeCell ref="AE145:AF145"/>
    <mergeCell ref="AG145:AH145"/>
    <mergeCell ref="AI145:AK145"/>
    <mergeCell ref="AI149:AK149"/>
    <mergeCell ref="AJ27:AL27"/>
    <mergeCell ref="AA149:AB149"/>
    <mergeCell ref="AC149:AD149"/>
    <mergeCell ref="AE149:AF149"/>
    <mergeCell ref="AG149:AH149"/>
    <mergeCell ref="AI136:AK136"/>
    <mergeCell ref="AA143:AF143"/>
    <mergeCell ref="AG143:AI143"/>
    <mergeCell ref="AA145:AB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49"/>
  <sheetViews>
    <sheetView workbookViewId="0" topLeftCell="A1">
      <pane xSplit="1" ySplit="6" topLeftCell="B7" activePane="bottomRight" state="frozen"/>
      <selection pane="topLeft" activeCell="A88" sqref="A88:F88"/>
      <selection pane="topRight" activeCell="A88" sqref="A88:F88"/>
      <selection pane="bottomLeft" activeCell="A88" sqref="A88:F88"/>
      <selection pane="bottomRight" activeCell="AA7" sqref="AA7:AF7"/>
    </sheetView>
  </sheetViews>
  <sheetFormatPr defaultColWidth="9.00390625" defaultRowHeight="12.75"/>
  <cols>
    <col min="1" max="1" width="3.125" style="2" customWidth="1"/>
    <col min="2" max="27" width="3.25390625" style="2" customWidth="1"/>
    <col min="28" max="28" width="4.875" style="2" customWidth="1"/>
    <col min="29" max="29" width="3.25390625" style="2" customWidth="1"/>
    <col min="30" max="30" width="5.375" style="2" customWidth="1"/>
    <col min="31" max="31" width="3.75390625" style="2" customWidth="1"/>
    <col min="32" max="32" width="4.75390625" style="2" customWidth="1"/>
    <col min="33" max="33" width="3.625" style="2" customWidth="1"/>
    <col min="34" max="34" width="4.25390625" style="2" customWidth="1"/>
    <col min="35" max="36" width="3.25390625" style="2" customWidth="1"/>
    <col min="37" max="37" width="5.25390625" style="2" customWidth="1"/>
    <col min="38" max="38" width="3.25390625" style="2" customWidth="1"/>
    <col min="39" max="39" width="4.875" style="2" customWidth="1"/>
    <col min="40" max="40" width="3.25390625" style="2" customWidth="1"/>
    <col min="41" max="41" width="4.75390625" style="2" customWidth="1"/>
    <col min="42" max="42" width="3.25390625" style="2" customWidth="1"/>
    <col min="43" max="43" width="5.25390625" style="2" customWidth="1"/>
    <col min="44" max="44" width="3.00390625" style="2" customWidth="1"/>
    <col min="45" max="47" width="3.25390625" style="2" customWidth="1"/>
    <col min="48" max="48" width="2.875" style="2" customWidth="1"/>
    <col min="49" max="16384" width="3.25390625" style="2" customWidth="1"/>
  </cols>
  <sheetData>
    <row r="1" spans="1:53" ht="12.75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33</v>
      </c>
      <c r="M1" s="200"/>
      <c r="N1" s="200" t="s">
        <v>34</v>
      </c>
      <c r="O1" s="200"/>
      <c r="P1" s="200"/>
      <c r="Q1" s="200" t="s">
        <v>35</v>
      </c>
      <c r="R1" s="200"/>
      <c r="S1" s="200"/>
      <c r="T1" s="200" t="s">
        <v>36</v>
      </c>
      <c r="U1" s="200"/>
      <c r="V1" s="200"/>
      <c r="W1" s="200" t="s">
        <v>39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 t="s">
        <v>26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 t="s">
        <v>39</v>
      </c>
      <c r="AY1" s="200"/>
      <c r="AZ1" s="200"/>
      <c r="BA1" s="200"/>
    </row>
    <row r="2" spans="1:53" ht="12.75">
      <c r="A2" s="126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>
        <f>AG124</f>
        <v>3.6052631578947367</v>
      </c>
      <c r="M2" s="127"/>
      <c r="N2" s="201">
        <v>8</v>
      </c>
      <c r="O2" s="201"/>
      <c r="P2" s="201"/>
      <c r="Q2" s="127">
        <v>1</v>
      </c>
      <c r="R2" s="127"/>
      <c r="S2" s="127"/>
      <c r="T2" s="127">
        <v>0.4</v>
      </c>
      <c r="U2" s="127"/>
      <c r="V2" s="127"/>
      <c r="W2" s="206" t="s">
        <v>40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7" t="s">
        <v>46</v>
      </c>
      <c r="AI2" s="208"/>
      <c r="AJ2" s="208"/>
      <c r="AK2" s="209"/>
      <c r="AL2" s="207" t="s">
        <v>47</v>
      </c>
      <c r="AM2" s="208"/>
      <c r="AN2" s="208"/>
      <c r="AO2" s="209"/>
      <c r="AP2" s="207" t="s">
        <v>46</v>
      </c>
      <c r="AQ2" s="208"/>
      <c r="AR2" s="208"/>
      <c r="AS2" s="209"/>
      <c r="AT2" s="207" t="s">
        <v>48</v>
      </c>
      <c r="AU2" s="208"/>
      <c r="AV2" s="208"/>
      <c r="AW2" s="209"/>
      <c r="AX2" s="210" t="s">
        <v>51</v>
      </c>
      <c r="AY2" s="211"/>
      <c r="AZ2" s="211"/>
      <c r="BA2" s="212"/>
    </row>
    <row r="3" spans="1:53" ht="12.75">
      <c r="A3" s="126" t="s">
        <v>278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>
        <v>4</v>
      </c>
      <c r="M3" s="127"/>
      <c r="N3" s="202" t="s">
        <v>248</v>
      </c>
      <c r="O3" s="202"/>
      <c r="P3" s="202"/>
      <c r="Q3" s="203" t="s">
        <v>274</v>
      </c>
      <c r="R3" s="204"/>
      <c r="S3" s="205"/>
      <c r="T3" s="127">
        <v>0</v>
      </c>
      <c r="U3" s="127"/>
      <c r="V3" s="127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126" t="s">
        <v>5</v>
      </c>
      <c r="AI3" s="126"/>
      <c r="AJ3" s="126"/>
      <c r="AK3" s="126"/>
      <c r="AL3" s="127">
        <v>0</v>
      </c>
      <c r="AM3" s="127"/>
      <c r="AN3" s="127"/>
      <c r="AO3" s="127"/>
      <c r="AP3" s="203" t="s">
        <v>49</v>
      </c>
      <c r="AQ3" s="204"/>
      <c r="AR3" s="204"/>
      <c r="AS3" s="205"/>
      <c r="AT3" s="126">
        <v>0</v>
      </c>
      <c r="AU3" s="126"/>
      <c r="AV3" s="126"/>
      <c r="AW3" s="126"/>
      <c r="AX3" s="213"/>
      <c r="AY3" s="214"/>
      <c r="AZ3" s="214"/>
      <c r="BA3" s="215"/>
    </row>
    <row r="4" spans="1:53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202" t="s">
        <v>249</v>
      </c>
      <c r="O4" s="202"/>
      <c r="P4" s="202"/>
      <c r="Q4" s="203" t="s">
        <v>275</v>
      </c>
      <c r="R4" s="204"/>
      <c r="S4" s="205"/>
      <c r="T4" s="238">
        <v>0</v>
      </c>
      <c r="U4" s="238"/>
      <c r="V4" s="238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126" t="s">
        <v>2</v>
      </c>
      <c r="AI4" s="126"/>
      <c r="AJ4" s="126"/>
      <c r="AK4" s="126"/>
      <c r="AL4" s="127">
        <v>0</v>
      </c>
      <c r="AM4" s="127"/>
      <c r="AN4" s="127"/>
      <c r="AO4" s="127"/>
      <c r="AP4" s="203" t="s">
        <v>50</v>
      </c>
      <c r="AQ4" s="204"/>
      <c r="AR4" s="204"/>
      <c r="AS4" s="205"/>
      <c r="AT4" s="126">
        <v>100</v>
      </c>
      <c r="AU4" s="126"/>
      <c r="AV4" s="126"/>
      <c r="AW4" s="126"/>
      <c r="AX4" s="216"/>
      <c r="AY4" s="217"/>
      <c r="AZ4" s="217"/>
      <c r="BA4" s="218"/>
    </row>
    <row r="5" spans="14:22" ht="13.5" thickBot="1">
      <c r="N5" s="2" t="s">
        <v>277</v>
      </c>
      <c r="Q5" s="126" t="s">
        <v>276</v>
      </c>
      <c r="R5" s="126"/>
      <c r="S5" s="126"/>
      <c r="T5" s="127">
        <v>0.1</v>
      </c>
      <c r="U5" s="127"/>
      <c r="V5" s="127"/>
    </row>
    <row r="6" spans="1:35" ht="13.5" thickBot="1">
      <c r="A6" s="129" t="s">
        <v>74</v>
      </c>
      <c r="B6" s="130"/>
      <c r="C6" s="130"/>
      <c r="D6" s="130"/>
      <c r="E6" s="130"/>
      <c r="F6" s="130"/>
      <c r="G6" s="129" t="s">
        <v>5</v>
      </c>
      <c r="H6" s="130"/>
      <c r="I6" s="130"/>
      <c r="J6" s="131"/>
      <c r="K6" s="130" t="s">
        <v>2</v>
      </c>
      <c r="L6" s="130"/>
      <c r="M6" s="130"/>
      <c r="N6" s="130"/>
      <c r="O6" s="129" t="s">
        <v>2</v>
      </c>
      <c r="P6" s="130"/>
      <c r="Q6" s="128"/>
      <c r="R6" s="190"/>
      <c r="S6" s="128" t="s">
        <v>2</v>
      </c>
      <c r="T6" s="128"/>
      <c r="U6" s="128"/>
      <c r="V6" s="128"/>
      <c r="W6" s="129" t="s">
        <v>73</v>
      </c>
      <c r="X6" s="130"/>
      <c r="Y6" s="130"/>
      <c r="Z6" s="131"/>
      <c r="AA6" s="130" t="s">
        <v>350</v>
      </c>
      <c r="AB6" s="130"/>
      <c r="AC6" s="130"/>
      <c r="AD6" s="130"/>
      <c r="AE6" s="130"/>
      <c r="AF6" s="130"/>
      <c r="AG6" s="130"/>
      <c r="AH6" s="130"/>
      <c r="AI6" s="131"/>
    </row>
    <row r="7" spans="1:35" ht="12.75" customHeight="1">
      <c r="A7" s="186" t="s">
        <v>61</v>
      </c>
      <c r="B7" s="93" t="s">
        <v>23</v>
      </c>
      <c r="C7" s="94"/>
      <c r="D7" s="94"/>
      <c r="E7" s="94"/>
      <c r="F7" s="199"/>
      <c r="G7" s="185">
        <v>1</v>
      </c>
      <c r="H7" s="183"/>
      <c r="I7" s="183"/>
      <c r="J7" s="184"/>
      <c r="K7" s="182">
        <v>0</v>
      </c>
      <c r="L7" s="183"/>
      <c r="M7" s="183"/>
      <c r="N7" s="184"/>
      <c r="O7" s="182">
        <v>0</v>
      </c>
      <c r="P7" s="183"/>
      <c r="Q7" s="183"/>
      <c r="R7" s="184"/>
      <c r="S7" s="182">
        <v>0</v>
      </c>
      <c r="T7" s="183"/>
      <c r="U7" s="183"/>
      <c r="V7" s="184"/>
      <c r="W7" s="170">
        <f aca="true" t="shared" si="0" ref="W7:W34">G7+K7+O7+S7</f>
        <v>1</v>
      </c>
      <c r="X7" s="171"/>
      <c r="Y7" s="171"/>
      <c r="Z7" s="172"/>
      <c r="AA7" s="236" t="s">
        <v>282</v>
      </c>
      <c r="AB7" s="94"/>
      <c r="AC7" s="94"/>
      <c r="AD7" s="94"/>
      <c r="AE7" s="94"/>
      <c r="AF7" s="94"/>
      <c r="AG7" s="173">
        <f>(W12+$N$2*AG13)/W7*100+$Q$2+$T$2+$T$3+$T$5</f>
        <v>2801.5</v>
      </c>
      <c r="AH7" s="174"/>
      <c r="AI7" s="175"/>
    </row>
    <row r="8" spans="1:36" ht="12.75">
      <c r="A8" s="219"/>
      <c r="B8" s="125" t="s">
        <v>24</v>
      </c>
      <c r="C8" s="126"/>
      <c r="D8" s="126"/>
      <c r="E8" s="126"/>
      <c r="F8" s="161"/>
      <c r="G8" s="169">
        <v>0</v>
      </c>
      <c r="H8" s="167"/>
      <c r="I8" s="167"/>
      <c r="J8" s="168"/>
      <c r="K8" s="166">
        <v>0</v>
      </c>
      <c r="L8" s="167"/>
      <c r="M8" s="167"/>
      <c r="N8" s="168"/>
      <c r="O8" s="166">
        <v>0</v>
      </c>
      <c r="P8" s="167"/>
      <c r="Q8" s="167"/>
      <c r="R8" s="168"/>
      <c r="S8" s="166">
        <v>0</v>
      </c>
      <c r="T8" s="167"/>
      <c r="U8" s="167"/>
      <c r="V8" s="168"/>
      <c r="W8" s="153">
        <f t="shared" si="0"/>
        <v>0</v>
      </c>
      <c r="X8" s="154"/>
      <c r="Y8" s="154"/>
      <c r="Z8" s="155"/>
      <c r="AA8" s="205" t="s">
        <v>54</v>
      </c>
      <c r="AB8" s="126"/>
      <c r="AC8" s="126"/>
      <c r="AD8" s="126"/>
      <c r="AE8" s="126"/>
      <c r="AF8" s="126"/>
      <c r="AG8" s="180">
        <f>(AG7-$L$2)*W7/100</f>
        <v>27.978947368421053</v>
      </c>
      <c r="AH8" s="180"/>
      <c r="AI8" s="181"/>
      <c r="AJ8" s="2" t="s">
        <v>284</v>
      </c>
    </row>
    <row r="9" spans="1:43" ht="12.75">
      <c r="A9" s="219"/>
      <c r="B9" s="125" t="s">
        <v>29</v>
      </c>
      <c r="C9" s="126"/>
      <c r="D9" s="126"/>
      <c r="E9" s="126"/>
      <c r="F9" s="161"/>
      <c r="G9" s="156">
        <f>IF(G7&lt;=G8,$N$2+G8/100*($Q$2+$T$2)+$AI16/$AG13+$AI18+IF(AI15&gt;0,AI15,0),$N$2+G8/100*$Q$2+$AI16/$AG13+$AI18+IF(AI15&gt;0,AI15,0))</f>
        <v>8</v>
      </c>
      <c r="H9" s="157"/>
      <c r="I9" s="157"/>
      <c r="J9" s="158"/>
      <c r="K9" s="156">
        <v>0</v>
      </c>
      <c r="L9" s="157"/>
      <c r="M9" s="157"/>
      <c r="N9" s="158"/>
      <c r="O9" s="156">
        <v>0</v>
      </c>
      <c r="P9" s="157"/>
      <c r="Q9" s="157"/>
      <c r="R9" s="158"/>
      <c r="S9" s="156">
        <v>0</v>
      </c>
      <c r="T9" s="157"/>
      <c r="U9" s="157"/>
      <c r="V9" s="158"/>
      <c r="W9" s="153">
        <f t="shared" si="0"/>
        <v>8</v>
      </c>
      <c r="X9" s="154"/>
      <c r="Y9" s="154"/>
      <c r="Z9" s="155"/>
      <c r="AA9" s="205" t="s">
        <v>55</v>
      </c>
      <c r="AB9" s="126"/>
      <c r="AC9" s="126"/>
      <c r="AD9" s="126"/>
      <c r="AE9" s="126"/>
      <c r="AF9" s="126"/>
      <c r="AG9" s="122">
        <f>SUM(AJ10:AQ10)+AG8</f>
        <v>27.978947368421053</v>
      </c>
      <c r="AH9" s="123"/>
      <c r="AI9" s="124"/>
      <c r="AJ9" s="225">
        <f>$N$2+G7*($Q$2+$T$2+$T$3/$AG13)/100+$T$5*$W7/100</f>
        <v>8.014999999999999</v>
      </c>
      <c r="AK9" s="226"/>
      <c r="AL9" s="225">
        <f>$N$2+K7*($Q$2+$T$2+$T$3/$AG13)/100</f>
        <v>8</v>
      </c>
      <c r="AM9" s="226"/>
      <c r="AN9" s="225">
        <f>$N$2+O7*($Q$2+$T$2+$T$3/$AG13)/100</f>
        <v>8</v>
      </c>
      <c r="AO9" s="226"/>
      <c r="AP9" s="225">
        <f>$N$2+S7*($Q$2+$T$2+$T$3/$AG13)/100</f>
        <v>8</v>
      </c>
      <c r="AQ9" s="226"/>
    </row>
    <row r="10" spans="1:43" ht="12.75">
      <c r="A10" s="219"/>
      <c r="B10" s="125" t="s">
        <v>10</v>
      </c>
      <c r="C10" s="126"/>
      <c r="D10" s="126"/>
      <c r="E10" s="126"/>
      <c r="F10" s="161"/>
      <c r="G10" s="169">
        <v>8</v>
      </c>
      <c r="H10" s="167"/>
      <c r="I10" s="167"/>
      <c r="J10" s="168"/>
      <c r="K10" s="166">
        <v>0</v>
      </c>
      <c r="L10" s="167"/>
      <c r="M10" s="167"/>
      <c r="N10" s="168"/>
      <c r="O10" s="169">
        <v>0</v>
      </c>
      <c r="P10" s="167"/>
      <c r="Q10" s="167"/>
      <c r="R10" s="168"/>
      <c r="S10" s="166">
        <v>0</v>
      </c>
      <c r="T10" s="167"/>
      <c r="U10" s="167"/>
      <c r="V10" s="168"/>
      <c r="W10" s="153">
        <f t="shared" si="0"/>
        <v>8</v>
      </c>
      <c r="X10" s="154"/>
      <c r="Y10" s="154"/>
      <c r="Z10" s="155"/>
      <c r="AA10" s="205" t="s">
        <v>56</v>
      </c>
      <c r="AB10" s="126"/>
      <c r="AC10" s="126"/>
      <c r="AD10" s="126"/>
      <c r="AE10" s="126"/>
      <c r="AF10" s="126"/>
      <c r="AG10" s="134">
        <f>W17+AG9</f>
        <v>-0.021052631578946546</v>
      </c>
      <c r="AH10" s="134"/>
      <c r="AI10" s="135"/>
      <c r="AJ10" s="225">
        <f>IF(AJ9&gt;G10,0,G10-AJ9)</f>
        <v>0</v>
      </c>
      <c r="AK10" s="226"/>
      <c r="AL10" s="225">
        <f>IF(AL9&gt;K10,0,K10-AL9)</f>
        <v>0</v>
      </c>
      <c r="AM10" s="226"/>
      <c r="AN10" s="225">
        <f>IF(AN9&gt;O10,0,O10-AN9)</f>
        <v>0</v>
      </c>
      <c r="AO10" s="226"/>
      <c r="AP10" s="225">
        <f>IF(AP9&gt;S10,0,S10-AP9)</f>
        <v>0</v>
      </c>
      <c r="AQ10" s="226"/>
    </row>
    <row r="11" spans="1:37" ht="13.5" thickBot="1">
      <c r="A11" s="219"/>
      <c r="B11" s="125" t="s">
        <v>58</v>
      </c>
      <c r="C11" s="126"/>
      <c r="D11" s="126"/>
      <c r="E11" s="126"/>
      <c r="F11" s="161"/>
      <c r="G11" s="156">
        <f>IF(G9&lt;G10,G10,G9)</f>
        <v>8</v>
      </c>
      <c r="H11" s="157"/>
      <c r="I11" s="157"/>
      <c r="J11" s="158"/>
      <c r="K11" s="160">
        <v>0</v>
      </c>
      <c r="L11" s="157"/>
      <c r="M11" s="157"/>
      <c r="N11" s="158"/>
      <c r="O11" s="156">
        <v>0</v>
      </c>
      <c r="P11" s="157"/>
      <c r="Q11" s="157"/>
      <c r="R11" s="158"/>
      <c r="S11" s="160">
        <v>0</v>
      </c>
      <c r="T11" s="157"/>
      <c r="U11" s="157"/>
      <c r="V11" s="158"/>
      <c r="W11" s="153">
        <f t="shared" si="0"/>
        <v>8</v>
      </c>
      <c r="X11" s="154"/>
      <c r="Y11" s="154"/>
      <c r="Z11" s="155"/>
      <c r="AA11" s="232" t="s">
        <v>57</v>
      </c>
      <c r="AB11" s="90"/>
      <c r="AC11" s="90"/>
      <c r="AD11" s="90"/>
      <c r="AE11" s="90"/>
      <c r="AF11" s="90"/>
      <c r="AG11" s="91">
        <f>-AG9+AG10-W18</f>
        <v>-28</v>
      </c>
      <c r="AH11" s="91"/>
      <c r="AI11" s="85"/>
      <c r="AK11" s="64"/>
    </row>
    <row r="12" spans="1:35" ht="13.5" thickBot="1">
      <c r="A12" s="219"/>
      <c r="B12" s="125" t="s">
        <v>41</v>
      </c>
      <c r="C12" s="126"/>
      <c r="D12" s="126"/>
      <c r="E12" s="126"/>
      <c r="F12" s="161"/>
      <c r="G12" s="156">
        <v>20</v>
      </c>
      <c r="H12" s="157"/>
      <c r="I12" s="157"/>
      <c r="J12" s="158"/>
      <c r="K12" s="160">
        <v>0</v>
      </c>
      <c r="L12" s="157"/>
      <c r="M12" s="157"/>
      <c r="N12" s="158"/>
      <c r="O12" s="156">
        <v>0</v>
      </c>
      <c r="P12" s="157"/>
      <c r="Q12" s="157"/>
      <c r="R12" s="158"/>
      <c r="S12" s="160">
        <v>0</v>
      </c>
      <c r="T12" s="157"/>
      <c r="U12" s="157"/>
      <c r="V12" s="158"/>
      <c r="W12" s="153">
        <f t="shared" si="0"/>
        <v>20</v>
      </c>
      <c r="X12" s="154"/>
      <c r="Y12" s="154"/>
      <c r="Z12" s="155"/>
      <c r="AA12" s="230" t="s">
        <v>59</v>
      </c>
      <c r="AB12" s="231"/>
      <c r="AC12" s="231"/>
      <c r="AD12" s="231"/>
      <c r="AE12" s="231"/>
      <c r="AF12" s="231"/>
      <c r="AG12" s="88">
        <f>AG9+AG11</f>
        <v>-0.021052631578946546</v>
      </c>
      <c r="AH12" s="89"/>
      <c r="AI12" s="84"/>
    </row>
    <row r="13" spans="1:35" ht="12.75">
      <c r="A13" s="219"/>
      <c r="B13" s="125" t="s">
        <v>42</v>
      </c>
      <c r="C13" s="126"/>
      <c r="D13" s="126"/>
      <c r="E13" s="126"/>
      <c r="F13" s="161"/>
      <c r="G13" s="169">
        <v>20</v>
      </c>
      <c r="H13" s="167"/>
      <c r="I13" s="167"/>
      <c r="J13" s="168"/>
      <c r="K13" s="166">
        <v>0</v>
      </c>
      <c r="L13" s="167"/>
      <c r="M13" s="167"/>
      <c r="N13" s="168"/>
      <c r="O13" s="169">
        <v>0</v>
      </c>
      <c r="P13" s="167"/>
      <c r="Q13" s="167"/>
      <c r="R13" s="168"/>
      <c r="S13" s="166">
        <v>0</v>
      </c>
      <c r="T13" s="167"/>
      <c r="U13" s="167"/>
      <c r="V13" s="168"/>
      <c r="W13" s="153">
        <f t="shared" si="0"/>
        <v>20</v>
      </c>
      <c r="X13" s="154"/>
      <c r="Y13" s="154"/>
      <c r="Z13" s="155"/>
      <c r="AA13" s="228" t="s">
        <v>279</v>
      </c>
      <c r="AB13" s="229"/>
      <c r="AC13" s="229"/>
      <c r="AD13" s="229"/>
      <c r="AE13" s="229"/>
      <c r="AF13" s="229"/>
      <c r="AG13" s="95">
        <v>1</v>
      </c>
      <c r="AH13" s="95"/>
      <c r="AI13" s="95"/>
    </row>
    <row r="14" spans="1:35" ht="12.75">
      <c r="A14" s="219"/>
      <c r="B14" s="125" t="s">
        <v>43</v>
      </c>
      <c r="C14" s="126"/>
      <c r="D14" s="126"/>
      <c r="E14" s="126"/>
      <c r="F14" s="161"/>
      <c r="G14" s="165">
        <f>G12-G13</f>
        <v>0</v>
      </c>
      <c r="H14" s="163"/>
      <c r="I14" s="163"/>
      <c r="J14" s="164"/>
      <c r="K14" s="162">
        <v>0</v>
      </c>
      <c r="L14" s="163"/>
      <c r="M14" s="163"/>
      <c r="N14" s="164"/>
      <c r="O14" s="165">
        <v>0</v>
      </c>
      <c r="P14" s="163"/>
      <c r="Q14" s="163"/>
      <c r="R14" s="164"/>
      <c r="S14" s="162">
        <v>0</v>
      </c>
      <c r="T14" s="163"/>
      <c r="U14" s="163"/>
      <c r="V14" s="164"/>
      <c r="W14" s="153">
        <f t="shared" si="0"/>
        <v>0</v>
      </c>
      <c r="X14" s="154"/>
      <c r="Y14" s="154"/>
      <c r="Z14" s="155"/>
      <c r="AA14" s="132">
        <f>W8*$L$2/100-AI19</f>
        <v>0</v>
      </c>
      <c r="AB14" s="233"/>
      <c r="AC14" s="233"/>
      <c r="AD14" s="233"/>
      <c r="AE14" s="233"/>
      <c r="AF14" s="233"/>
      <c r="AG14" s="233"/>
      <c r="AH14" s="233"/>
      <c r="AI14" s="233"/>
    </row>
    <row r="15" spans="1:38" ht="12.75">
      <c r="A15" s="219"/>
      <c r="B15" s="125" t="s">
        <v>30</v>
      </c>
      <c r="C15" s="126"/>
      <c r="D15" s="126"/>
      <c r="E15" s="126"/>
      <c r="F15" s="161"/>
      <c r="G15" s="156">
        <f>G8*$L$2/100-AA19</f>
        <v>0</v>
      </c>
      <c r="H15" s="157"/>
      <c r="I15" s="157"/>
      <c r="J15" s="158"/>
      <c r="K15" s="156">
        <f>K8*$L$2/100-AC19</f>
        <v>0</v>
      </c>
      <c r="L15" s="157"/>
      <c r="M15" s="157"/>
      <c r="N15" s="158"/>
      <c r="O15" s="156">
        <f>O8*$L$2/100-AE19</f>
        <v>0</v>
      </c>
      <c r="P15" s="157"/>
      <c r="Q15" s="157"/>
      <c r="R15" s="158"/>
      <c r="S15" s="156">
        <f>S8*$L$2/100-AG19</f>
        <v>0</v>
      </c>
      <c r="T15" s="157"/>
      <c r="U15" s="157"/>
      <c r="V15" s="158"/>
      <c r="W15" s="153">
        <f t="shared" si="0"/>
        <v>0</v>
      </c>
      <c r="X15" s="154"/>
      <c r="Y15" s="154"/>
      <c r="Z15" s="155"/>
      <c r="AA15" s="101">
        <f>IF(G8&lt;G7,$T$5*(G8-G7)*$L$3/100,$T$5*G8/100)</f>
        <v>-0.004</v>
      </c>
      <c r="AB15" s="101"/>
      <c r="AC15" s="101">
        <f>IF(K8&lt;K7,$T$5*(K8-K7)*$L$3/100,$T$5*K8/100)</f>
        <v>0</v>
      </c>
      <c r="AD15" s="101"/>
      <c r="AE15" s="101">
        <f>IF(O8&lt;O7,$T$5*(O8-O7)*$L$3/100,$T$5*O8/100)</f>
        <v>0</v>
      </c>
      <c r="AF15" s="101"/>
      <c r="AG15" s="101">
        <f>IF(S8&lt;S7,$T$5*(S8-S7)*$L$3/100,$T$5*S8/100)</f>
        <v>0</v>
      </c>
      <c r="AH15" s="101"/>
      <c r="AI15" s="97">
        <f>SUM(AA15:AH15)</f>
        <v>-0.004</v>
      </c>
      <c r="AJ15" s="98"/>
      <c r="AK15" s="98"/>
      <c r="AL15" s="2" t="s">
        <v>277</v>
      </c>
    </row>
    <row r="16" spans="1:38" ht="12.75">
      <c r="A16" s="219"/>
      <c r="B16" s="125" t="s">
        <v>283</v>
      </c>
      <c r="C16" s="126"/>
      <c r="D16" s="126"/>
      <c r="E16" s="126"/>
      <c r="F16" s="161"/>
      <c r="G16" s="156">
        <f>G15-G12-G11+$AI18</f>
        <v>-28</v>
      </c>
      <c r="H16" s="157"/>
      <c r="I16" s="157"/>
      <c r="J16" s="158"/>
      <c r="K16" s="156">
        <v>0</v>
      </c>
      <c r="L16" s="157"/>
      <c r="M16" s="157"/>
      <c r="N16" s="158"/>
      <c r="O16" s="156">
        <v>0</v>
      </c>
      <c r="P16" s="157"/>
      <c r="Q16" s="157"/>
      <c r="R16" s="158"/>
      <c r="S16" s="156">
        <v>0</v>
      </c>
      <c r="T16" s="157"/>
      <c r="U16" s="157"/>
      <c r="V16" s="158"/>
      <c r="W16" s="153">
        <f t="shared" si="0"/>
        <v>-28</v>
      </c>
      <c r="X16" s="154"/>
      <c r="Y16" s="154"/>
      <c r="Z16" s="159"/>
      <c r="AA16" s="101">
        <f>IF(G8&lt;G7,0,$T$3*G8/100)</f>
        <v>0</v>
      </c>
      <c r="AB16" s="101"/>
      <c r="AC16" s="101">
        <f>IF(K8&lt;K7,0,$T$3*K8/100)</f>
        <v>0</v>
      </c>
      <c r="AD16" s="101"/>
      <c r="AE16" s="101">
        <f>IF(O8&lt;O7,0,$T$3*O8/100)</f>
        <v>0</v>
      </c>
      <c r="AF16" s="101"/>
      <c r="AG16" s="101">
        <f>IF(S8&lt;S7,0,$T$3*S8/100)</f>
        <v>0</v>
      </c>
      <c r="AH16" s="101"/>
      <c r="AI16" s="97">
        <f>SUM(AA16:AH16)</f>
        <v>0</v>
      </c>
      <c r="AJ16" s="98"/>
      <c r="AK16" s="98"/>
      <c r="AL16" s="2" t="s">
        <v>248</v>
      </c>
    </row>
    <row r="17" spans="1:38" ht="12.75" customHeight="1">
      <c r="A17" s="219"/>
      <c r="B17" s="125" t="s">
        <v>45</v>
      </c>
      <c r="C17" s="126"/>
      <c r="D17" s="126"/>
      <c r="E17" s="126"/>
      <c r="F17" s="161"/>
      <c r="G17" s="156">
        <f>G16+G14</f>
        <v>-28</v>
      </c>
      <c r="H17" s="157"/>
      <c r="I17" s="157"/>
      <c r="J17" s="158"/>
      <c r="K17" s="160">
        <v>0</v>
      </c>
      <c r="L17" s="157"/>
      <c r="M17" s="157"/>
      <c r="N17" s="158"/>
      <c r="O17" s="156">
        <v>0</v>
      </c>
      <c r="P17" s="157"/>
      <c r="Q17" s="157"/>
      <c r="R17" s="158"/>
      <c r="S17" s="160">
        <f>S16+S14</f>
        <v>0</v>
      </c>
      <c r="T17" s="157"/>
      <c r="U17" s="157"/>
      <c r="V17" s="158"/>
      <c r="W17" s="153">
        <f t="shared" si="0"/>
        <v>-28</v>
      </c>
      <c r="X17" s="154"/>
      <c r="Y17" s="154"/>
      <c r="Z17" s="155"/>
      <c r="AA17" s="101">
        <f>IF(G8&lt;G7,0,$T$4*G8/100)</f>
        <v>0</v>
      </c>
      <c r="AB17" s="101"/>
      <c r="AC17" s="101">
        <f>IF(K8&lt;K7,0,$T$4*K8/100)</f>
        <v>0</v>
      </c>
      <c r="AD17" s="101"/>
      <c r="AE17" s="101">
        <f>IF(O8&lt;O7,0,$T$4*O8/100)</f>
        <v>0</v>
      </c>
      <c r="AF17" s="101"/>
      <c r="AG17" s="101">
        <f>IF(S8&lt;S7,0,$T$4*S8/100)</f>
        <v>0</v>
      </c>
      <c r="AH17" s="101"/>
      <c r="AI17" s="97">
        <f>SUM(AA17:AH17)</f>
        <v>0</v>
      </c>
      <c r="AJ17" s="98"/>
      <c r="AK17" s="98"/>
      <c r="AL17" s="2" t="s">
        <v>281</v>
      </c>
    </row>
    <row r="18" spans="1:38" ht="12.75">
      <c r="A18" s="219"/>
      <c r="B18" s="194" t="s">
        <v>26</v>
      </c>
      <c r="C18" s="98"/>
      <c r="D18" s="98"/>
      <c r="E18" s="98"/>
      <c r="F18" s="195"/>
      <c r="G18" s="196">
        <f>$AG10/100*$AL$3</f>
        <v>0</v>
      </c>
      <c r="H18" s="197"/>
      <c r="I18" s="197"/>
      <c r="J18" s="198"/>
      <c r="K18" s="137">
        <v>0</v>
      </c>
      <c r="L18" s="138"/>
      <c r="M18" s="138"/>
      <c r="N18" s="139"/>
      <c r="O18" s="137">
        <v>0</v>
      </c>
      <c r="P18" s="138"/>
      <c r="Q18" s="138"/>
      <c r="R18" s="139"/>
      <c r="S18" s="137">
        <v>0</v>
      </c>
      <c r="T18" s="138"/>
      <c r="U18" s="138"/>
      <c r="V18" s="139"/>
      <c r="W18" s="153">
        <f t="shared" si="0"/>
        <v>0</v>
      </c>
      <c r="X18" s="154"/>
      <c r="Y18" s="154"/>
      <c r="Z18" s="155"/>
      <c r="AI18" s="224">
        <f>'ЦФУ Продажи'!G$59</f>
        <v>0</v>
      </c>
      <c r="AJ18" s="224"/>
      <c r="AK18" s="224"/>
      <c r="AL18" s="2" t="s">
        <v>280</v>
      </c>
    </row>
    <row r="19" spans="1:38" ht="13.5" thickBot="1">
      <c r="A19" s="220"/>
      <c r="B19" s="191" t="s">
        <v>28</v>
      </c>
      <c r="C19" s="192"/>
      <c r="D19" s="192"/>
      <c r="E19" s="192"/>
      <c r="F19" s="193"/>
      <c r="G19" s="149">
        <f>IF(G18&lt;0,G11,G11+G18)</f>
        <v>8</v>
      </c>
      <c r="H19" s="147"/>
      <c r="I19" s="147"/>
      <c r="J19" s="148"/>
      <c r="K19" s="146">
        <v>0</v>
      </c>
      <c r="L19" s="147"/>
      <c r="M19" s="147"/>
      <c r="N19" s="148"/>
      <c r="O19" s="149">
        <f>IF(O18&lt;0,O11,O11+O18)</f>
        <v>0</v>
      </c>
      <c r="P19" s="147"/>
      <c r="Q19" s="147"/>
      <c r="R19" s="148"/>
      <c r="S19" s="146">
        <f>IF(S18&lt;0,S11,S11+S18)</f>
        <v>0</v>
      </c>
      <c r="T19" s="147"/>
      <c r="U19" s="147"/>
      <c r="V19" s="148"/>
      <c r="W19" s="150">
        <f t="shared" si="0"/>
        <v>8</v>
      </c>
      <c r="X19" s="151"/>
      <c r="Y19" s="151"/>
      <c r="Z19" s="152"/>
      <c r="AA19" s="101">
        <f>IF($AI15&gt;0,IF(AA15&gt;=0,0,G8*($T$2+$T$3+$T$5)/100-AA15),IF(G8&lt;G7,G8*($T$2+$T$3+$T$5)/100,AA15))</f>
        <v>0</v>
      </c>
      <c r="AB19" s="101"/>
      <c r="AC19" s="101">
        <f>IF($AI15&gt;=0,IF(AC15&gt;=0,0,K8*($T$2+$T$3+$T$4+$T$5)/100-AC15),IF(AC15&lt;0,K8*($T$2+$T$3+$T$4+$T$5)/100,AC15))</f>
        <v>0</v>
      </c>
      <c r="AD19" s="101"/>
      <c r="AE19" s="101">
        <f>IF($AI15&gt;=0,IF(AE15&gt;=0,0,O8*($T$2+$T$3+$T$4+$T$5)/100-AE15),IF(AE15&lt;0,O8*($T$2+$T$3+$T$4+$T$5)/100,AE15))</f>
        <v>0</v>
      </c>
      <c r="AF19" s="101"/>
      <c r="AG19" s="101">
        <f>IF($AI15&gt;=0,IF(AG15&gt;=0,0,S8*($T$2+$T$3+$T$4+$T$5)/100-AG15),IF(AG15&lt;0,S8*($T$2+$T$3+$T$4+$T$5)/100,AG15))</f>
        <v>0</v>
      </c>
      <c r="AH19" s="101"/>
      <c r="AI19" s="97">
        <f>SUM(AA19:AH19)</f>
        <v>0</v>
      </c>
      <c r="AJ19" s="98"/>
      <c r="AK19" s="98"/>
      <c r="AL19" s="2" t="s">
        <v>218</v>
      </c>
    </row>
    <row r="20" spans="1:35" ht="12.75" customHeight="1">
      <c r="A20" s="186" t="s">
        <v>62</v>
      </c>
      <c r="B20" s="93" t="s">
        <v>23</v>
      </c>
      <c r="C20" s="94"/>
      <c r="D20" s="94"/>
      <c r="E20" s="94"/>
      <c r="F20" s="199"/>
      <c r="G20" s="185">
        <v>180</v>
      </c>
      <c r="H20" s="183"/>
      <c r="I20" s="183"/>
      <c r="J20" s="184"/>
      <c r="K20" s="182">
        <v>0</v>
      </c>
      <c r="L20" s="183"/>
      <c r="M20" s="183"/>
      <c r="N20" s="184"/>
      <c r="O20" s="185">
        <v>0</v>
      </c>
      <c r="P20" s="183"/>
      <c r="Q20" s="183"/>
      <c r="R20" s="184"/>
      <c r="S20" s="182">
        <v>0</v>
      </c>
      <c r="T20" s="183"/>
      <c r="U20" s="183"/>
      <c r="V20" s="184"/>
      <c r="W20" s="170">
        <f t="shared" si="0"/>
        <v>180</v>
      </c>
      <c r="X20" s="171"/>
      <c r="Y20" s="171"/>
      <c r="Z20" s="172"/>
      <c r="AA20" s="93" t="s">
        <v>53</v>
      </c>
      <c r="AB20" s="94"/>
      <c r="AC20" s="94"/>
      <c r="AD20" s="94"/>
      <c r="AE20" s="94"/>
      <c r="AF20" s="94"/>
      <c r="AG20" s="173">
        <f>(W25+$N$2*AG26)/W20*100+$Q$2+$T$2+$T$3+$T$5</f>
        <v>32.611111111111114</v>
      </c>
      <c r="AH20" s="174"/>
      <c r="AI20" s="175"/>
    </row>
    <row r="21" spans="1:36" ht="12.75">
      <c r="A21" s="187"/>
      <c r="B21" s="125" t="s">
        <v>24</v>
      </c>
      <c r="C21" s="126"/>
      <c r="D21" s="126"/>
      <c r="E21" s="126"/>
      <c r="F21" s="161"/>
      <c r="G21" s="169">
        <v>180</v>
      </c>
      <c r="H21" s="167"/>
      <c r="I21" s="167"/>
      <c r="J21" s="168"/>
      <c r="K21" s="166">
        <v>0</v>
      </c>
      <c r="L21" s="167"/>
      <c r="M21" s="167"/>
      <c r="N21" s="168"/>
      <c r="O21" s="169">
        <v>0</v>
      </c>
      <c r="P21" s="167"/>
      <c r="Q21" s="167"/>
      <c r="R21" s="168"/>
      <c r="S21" s="166">
        <v>0</v>
      </c>
      <c r="T21" s="167"/>
      <c r="U21" s="167"/>
      <c r="V21" s="168"/>
      <c r="W21" s="153">
        <f t="shared" si="0"/>
        <v>180</v>
      </c>
      <c r="X21" s="154"/>
      <c r="Y21" s="154"/>
      <c r="Z21" s="155"/>
      <c r="AA21" s="125" t="s">
        <v>54</v>
      </c>
      <c r="AB21" s="126"/>
      <c r="AC21" s="126"/>
      <c r="AD21" s="126"/>
      <c r="AE21" s="126"/>
      <c r="AF21" s="126"/>
      <c r="AG21" s="180">
        <f>(AG20-$L$2)*W20/100</f>
        <v>52.21052631578949</v>
      </c>
      <c r="AH21" s="180"/>
      <c r="AI21" s="181"/>
      <c r="AJ21" s="2" t="s">
        <v>284</v>
      </c>
    </row>
    <row r="22" spans="1:43" ht="12.75">
      <c r="A22" s="187"/>
      <c r="B22" s="125" t="s">
        <v>29</v>
      </c>
      <c r="C22" s="126"/>
      <c r="D22" s="126"/>
      <c r="E22" s="126"/>
      <c r="F22" s="161"/>
      <c r="G22" s="156">
        <f>IF(G20&lt;=G21,$N$2+G21/100*($Q$2+$T$2)+$AI29/$AG26+$AI31+IF(AI28&gt;0,AI28,0),$N$2+G21/100*$Q$2+$AI29/$AG26+$AI31+IF(AI28&gt;0,AI28,0))</f>
        <v>10.7</v>
      </c>
      <c r="H22" s="157"/>
      <c r="I22" s="157"/>
      <c r="J22" s="158"/>
      <c r="K22" s="156">
        <f>IF(K20&lt;=K21,$N$2+K21/100*($Q$2+$T$2)+$AI29/$AG26+$AI31,$N$2+K21/100*$Q$2+$AI29/$AG26+$AI31)</f>
        <v>8</v>
      </c>
      <c r="L22" s="157"/>
      <c r="M22" s="157"/>
      <c r="N22" s="158"/>
      <c r="O22" s="156">
        <v>8</v>
      </c>
      <c r="P22" s="157"/>
      <c r="Q22" s="157"/>
      <c r="R22" s="158"/>
      <c r="S22" s="156">
        <v>8</v>
      </c>
      <c r="T22" s="157"/>
      <c r="U22" s="157"/>
      <c r="V22" s="158"/>
      <c r="W22" s="153">
        <f aca="true" t="shared" si="1" ref="W22:W32">G22+K22+O22+S22</f>
        <v>34.7</v>
      </c>
      <c r="X22" s="154"/>
      <c r="Y22" s="154"/>
      <c r="Z22" s="155"/>
      <c r="AA22" s="205" t="s">
        <v>55</v>
      </c>
      <c r="AB22" s="126"/>
      <c r="AC22" s="126"/>
      <c r="AD22" s="126"/>
      <c r="AE22" s="126"/>
      <c r="AF22" s="126"/>
      <c r="AG22" s="122">
        <f>SUM(AJ23:AQ23)+AG21</f>
        <v>52.21052631578949</v>
      </c>
      <c r="AH22" s="123"/>
      <c r="AI22" s="124"/>
      <c r="AJ22" s="225">
        <f>$N$2+G20*($Q$2+$T$2+$T$3/$AG26)/100+$T$5*$W20/100</f>
        <v>10.7</v>
      </c>
      <c r="AK22" s="226"/>
      <c r="AL22" s="225">
        <f>$N$2+K20*($Q$2+$T$2+$T$3/$AG26)/100</f>
        <v>8</v>
      </c>
      <c r="AM22" s="226"/>
      <c r="AN22" s="225">
        <f>$N$2+O20*($Q$2+$T$2+$T$3/$AG26)/100</f>
        <v>8</v>
      </c>
      <c r="AO22" s="226"/>
      <c r="AP22" s="225">
        <f>$N$2+S20*($Q$2+$T$2+$T$3/$AG26)/100</f>
        <v>8</v>
      </c>
      <c r="AQ22" s="226"/>
    </row>
    <row r="23" spans="1:43" ht="12.75">
      <c r="A23" s="187"/>
      <c r="B23" s="125" t="s">
        <v>10</v>
      </c>
      <c r="C23" s="126"/>
      <c r="D23" s="126"/>
      <c r="E23" s="126"/>
      <c r="F23" s="161"/>
      <c r="G23" s="169">
        <v>8</v>
      </c>
      <c r="H23" s="167"/>
      <c r="I23" s="167"/>
      <c r="J23" s="168"/>
      <c r="K23" s="166">
        <v>8</v>
      </c>
      <c r="L23" s="167"/>
      <c r="M23" s="167"/>
      <c r="N23" s="168"/>
      <c r="O23" s="169">
        <v>0</v>
      </c>
      <c r="P23" s="167"/>
      <c r="Q23" s="167"/>
      <c r="R23" s="168"/>
      <c r="S23" s="166">
        <v>0</v>
      </c>
      <c r="T23" s="167"/>
      <c r="U23" s="167"/>
      <c r="V23" s="168"/>
      <c r="W23" s="153">
        <f t="shared" si="1"/>
        <v>16</v>
      </c>
      <c r="X23" s="154"/>
      <c r="Y23" s="154"/>
      <c r="Z23" s="155"/>
      <c r="AA23" s="205" t="s">
        <v>56</v>
      </c>
      <c r="AB23" s="126"/>
      <c r="AC23" s="126"/>
      <c r="AD23" s="126"/>
      <c r="AE23" s="126"/>
      <c r="AF23" s="126"/>
      <c r="AG23" s="134">
        <f>W30+AG22</f>
        <v>0</v>
      </c>
      <c r="AH23" s="134"/>
      <c r="AI23" s="135"/>
      <c r="AJ23" s="225">
        <f>IF(AJ22&gt;G23,0,G23-AJ22)</f>
        <v>0</v>
      </c>
      <c r="AK23" s="226"/>
      <c r="AL23" s="225">
        <f>IF(AL22&gt;K23,0,K23-AL22)</f>
        <v>0</v>
      </c>
      <c r="AM23" s="226"/>
      <c r="AN23" s="225">
        <f>IF(AN22&gt;O23,0,O23-AN22)</f>
        <v>0</v>
      </c>
      <c r="AO23" s="226"/>
      <c r="AP23" s="225">
        <f>IF(AP22&gt;S23,0,S23-AP22)</f>
        <v>0</v>
      </c>
      <c r="AQ23" s="226"/>
    </row>
    <row r="24" spans="1:35" ht="13.5" thickBot="1">
      <c r="A24" s="187"/>
      <c r="B24" s="125" t="s">
        <v>58</v>
      </c>
      <c r="C24" s="126"/>
      <c r="D24" s="126"/>
      <c r="E24" s="126"/>
      <c r="F24" s="161"/>
      <c r="G24" s="156">
        <f>IF(G22&lt;G23,G23,G22)</f>
        <v>10.7</v>
      </c>
      <c r="H24" s="157"/>
      <c r="I24" s="157"/>
      <c r="J24" s="158"/>
      <c r="K24" s="156">
        <f>IF(K22&lt;K23,K23,K22)</f>
        <v>8</v>
      </c>
      <c r="L24" s="157"/>
      <c r="M24" s="157"/>
      <c r="N24" s="158"/>
      <c r="O24" s="156">
        <v>0</v>
      </c>
      <c r="P24" s="157"/>
      <c r="Q24" s="157"/>
      <c r="R24" s="158"/>
      <c r="S24" s="160">
        <v>0</v>
      </c>
      <c r="T24" s="157"/>
      <c r="U24" s="157"/>
      <c r="V24" s="158"/>
      <c r="W24" s="153">
        <f t="shared" si="1"/>
        <v>18.7</v>
      </c>
      <c r="X24" s="154"/>
      <c r="Y24" s="154"/>
      <c r="Z24" s="155"/>
      <c r="AA24" s="232" t="s">
        <v>57</v>
      </c>
      <c r="AB24" s="90"/>
      <c r="AC24" s="90"/>
      <c r="AD24" s="90"/>
      <c r="AE24" s="90"/>
      <c r="AF24" s="90"/>
      <c r="AG24" s="91">
        <f>-AG22+AG23-W31</f>
        <v>-52.21052631578949</v>
      </c>
      <c r="AH24" s="91"/>
      <c r="AI24" s="85"/>
    </row>
    <row r="25" spans="1:35" ht="13.5" thickBot="1">
      <c r="A25" s="187"/>
      <c r="B25" s="125" t="s">
        <v>41</v>
      </c>
      <c r="C25" s="126"/>
      <c r="D25" s="126"/>
      <c r="E25" s="126"/>
      <c r="F25" s="161"/>
      <c r="G25" s="156">
        <v>20</v>
      </c>
      <c r="H25" s="157"/>
      <c r="I25" s="157"/>
      <c r="J25" s="158"/>
      <c r="K25" s="156">
        <v>20</v>
      </c>
      <c r="L25" s="157"/>
      <c r="M25" s="157"/>
      <c r="N25" s="158"/>
      <c r="O25" s="156">
        <v>0</v>
      </c>
      <c r="P25" s="157"/>
      <c r="Q25" s="157"/>
      <c r="R25" s="158"/>
      <c r="S25" s="160">
        <v>0</v>
      </c>
      <c r="T25" s="157"/>
      <c r="U25" s="157"/>
      <c r="V25" s="158"/>
      <c r="W25" s="153">
        <f t="shared" si="1"/>
        <v>40</v>
      </c>
      <c r="X25" s="154"/>
      <c r="Y25" s="154"/>
      <c r="Z25" s="155"/>
      <c r="AA25" s="230" t="s">
        <v>59</v>
      </c>
      <c r="AB25" s="231"/>
      <c r="AC25" s="231"/>
      <c r="AD25" s="231"/>
      <c r="AE25" s="231"/>
      <c r="AF25" s="231"/>
      <c r="AG25" s="88">
        <f>AG22+AG24</f>
        <v>0</v>
      </c>
      <c r="AH25" s="89"/>
      <c r="AI25" s="84"/>
    </row>
    <row r="26" spans="1:35" ht="12.75">
      <c r="A26" s="187"/>
      <c r="B26" s="125" t="s">
        <v>42</v>
      </c>
      <c r="C26" s="126"/>
      <c r="D26" s="126"/>
      <c r="E26" s="126"/>
      <c r="F26" s="161"/>
      <c r="G26" s="169">
        <v>20</v>
      </c>
      <c r="H26" s="167"/>
      <c r="I26" s="167"/>
      <c r="J26" s="168"/>
      <c r="K26" s="166">
        <v>20</v>
      </c>
      <c r="L26" s="167"/>
      <c r="M26" s="167"/>
      <c r="N26" s="168"/>
      <c r="O26" s="169">
        <v>0</v>
      </c>
      <c r="P26" s="167"/>
      <c r="Q26" s="167"/>
      <c r="R26" s="168"/>
      <c r="S26" s="166">
        <v>0</v>
      </c>
      <c r="T26" s="167"/>
      <c r="U26" s="167"/>
      <c r="V26" s="168"/>
      <c r="W26" s="153">
        <f t="shared" si="1"/>
        <v>40</v>
      </c>
      <c r="X26" s="154"/>
      <c r="Y26" s="154"/>
      <c r="Z26" s="155"/>
      <c r="AA26" s="228" t="s">
        <v>279</v>
      </c>
      <c r="AB26" s="229"/>
      <c r="AC26" s="229"/>
      <c r="AD26" s="229"/>
      <c r="AE26" s="229"/>
      <c r="AF26" s="229"/>
      <c r="AG26" s="95">
        <v>2</v>
      </c>
      <c r="AH26" s="95"/>
      <c r="AI26" s="95"/>
    </row>
    <row r="27" spans="1:38" ht="12.75">
      <c r="A27" s="187"/>
      <c r="B27" s="125" t="s">
        <v>43</v>
      </c>
      <c r="C27" s="126"/>
      <c r="D27" s="126"/>
      <c r="E27" s="126"/>
      <c r="F27" s="161"/>
      <c r="G27" s="165">
        <f>G25-G26</f>
        <v>0</v>
      </c>
      <c r="H27" s="163"/>
      <c r="I27" s="163"/>
      <c r="J27" s="164"/>
      <c r="K27" s="162">
        <v>0</v>
      </c>
      <c r="L27" s="163"/>
      <c r="M27" s="163"/>
      <c r="N27" s="164"/>
      <c r="O27" s="165">
        <v>0</v>
      </c>
      <c r="P27" s="163"/>
      <c r="Q27" s="163"/>
      <c r="R27" s="164"/>
      <c r="S27" s="162">
        <v>0</v>
      </c>
      <c r="T27" s="163"/>
      <c r="U27" s="163"/>
      <c r="V27" s="164"/>
      <c r="W27" s="153">
        <f t="shared" si="1"/>
        <v>0</v>
      </c>
      <c r="X27" s="154"/>
      <c r="Y27" s="154"/>
      <c r="Z27" s="155"/>
      <c r="AA27" s="132">
        <f>W21*$L$2/100-AI32</f>
        <v>6.489473684210526</v>
      </c>
      <c r="AB27" s="233"/>
      <c r="AC27" s="233"/>
      <c r="AD27" s="233"/>
      <c r="AE27" s="233"/>
      <c r="AF27" s="233"/>
      <c r="AG27" s="233"/>
      <c r="AH27" s="233"/>
      <c r="AI27" s="233"/>
      <c r="AJ27" s="227">
        <f>AA27-W28</f>
        <v>0</v>
      </c>
      <c r="AK27" s="227"/>
      <c r="AL27" s="227"/>
    </row>
    <row r="28" spans="1:38" ht="12.75">
      <c r="A28" s="187"/>
      <c r="B28" s="125" t="s">
        <v>30</v>
      </c>
      <c r="C28" s="126"/>
      <c r="D28" s="126"/>
      <c r="E28" s="126"/>
      <c r="F28" s="161"/>
      <c r="G28" s="156">
        <f>G21*$L$2/100-AA32</f>
        <v>6.489473684210526</v>
      </c>
      <c r="H28" s="157"/>
      <c r="I28" s="157"/>
      <c r="J28" s="158"/>
      <c r="K28" s="156">
        <f>K21*$L$2/100-AC32</f>
        <v>0</v>
      </c>
      <c r="L28" s="157"/>
      <c r="M28" s="157"/>
      <c r="N28" s="158"/>
      <c r="O28" s="156">
        <f>O21*$L$2/100-AE32</f>
        <v>0</v>
      </c>
      <c r="P28" s="157"/>
      <c r="Q28" s="157"/>
      <c r="R28" s="158"/>
      <c r="S28" s="156">
        <f>S21*$L$2/100-AG32</f>
        <v>0</v>
      </c>
      <c r="T28" s="157"/>
      <c r="U28" s="157"/>
      <c r="V28" s="158"/>
      <c r="W28" s="153">
        <f t="shared" si="1"/>
        <v>6.489473684210526</v>
      </c>
      <c r="X28" s="154"/>
      <c r="Y28" s="154"/>
      <c r="Z28" s="155"/>
      <c r="AA28" s="101">
        <f>IF(G21&lt;G20,$T$5*(G21-G20)*$L$3/100,$T$5*G21/100)</f>
        <v>0.18</v>
      </c>
      <c r="AB28" s="101"/>
      <c r="AC28" s="101">
        <f>IF(K21&lt;K20,$T$5*(K21-K20)*$L$3/100,$T$5*K21/100)</f>
        <v>0</v>
      </c>
      <c r="AD28" s="101"/>
      <c r="AE28" s="101">
        <f>IF(O21&lt;O20,$T$5*(O21-O20)*$L$3/100,$T$5*O21/100)</f>
        <v>0</v>
      </c>
      <c r="AF28" s="101"/>
      <c r="AG28" s="101">
        <f>IF(S21&lt;S20,$T$5*(S21-S20)*$L$3/100,$T$5*S21/100)</f>
        <v>0</v>
      </c>
      <c r="AH28" s="101"/>
      <c r="AI28" s="97">
        <f>SUM(AA28:AH28)</f>
        <v>0.18</v>
      </c>
      <c r="AJ28" s="98"/>
      <c r="AK28" s="98"/>
      <c r="AL28" s="2" t="s">
        <v>277</v>
      </c>
    </row>
    <row r="29" spans="1:38" ht="12.75">
      <c r="A29" s="187"/>
      <c r="B29" s="125" t="s">
        <v>283</v>
      </c>
      <c r="C29" s="126"/>
      <c r="D29" s="126"/>
      <c r="E29" s="126"/>
      <c r="F29" s="161"/>
      <c r="G29" s="156">
        <f>G28-G25-G24+$AI31</f>
        <v>-24.210526315789473</v>
      </c>
      <c r="H29" s="157"/>
      <c r="I29" s="157"/>
      <c r="J29" s="158"/>
      <c r="K29" s="156">
        <f>K28-K25-K24+$AI31</f>
        <v>-28</v>
      </c>
      <c r="L29" s="157"/>
      <c r="M29" s="157"/>
      <c r="N29" s="158"/>
      <c r="O29" s="156">
        <v>0</v>
      </c>
      <c r="P29" s="157"/>
      <c r="Q29" s="157"/>
      <c r="R29" s="158"/>
      <c r="S29" s="156">
        <v>0</v>
      </c>
      <c r="T29" s="157"/>
      <c r="U29" s="157"/>
      <c r="V29" s="158"/>
      <c r="W29" s="153">
        <f t="shared" si="1"/>
        <v>-52.21052631578947</v>
      </c>
      <c r="X29" s="154"/>
      <c r="Y29" s="154"/>
      <c r="Z29" s="159"/>
      <c r="AA29" s="101">
        <f>IF(G21&lt;G20,0,$T$3*G21/100)</f>
        <v>0</v>
      </c>
      <c r="AB29" s="101"/>
      <c r="AC29" s="101">
        <f>IF(K21&lt;K20,0,$T$3*K21/100)</f>
        <v>0</v>
      </c>
      <c r="AD29" s="101"/>
      <c r="AE29" s="101">
        <f>IF(O21&lt;O20,0,$T$3*O21/100)</f>
        <v>0</v>
      </c>
      <c r="AF29" s="101"/>
      <c r="AG29" s="101">
        <f>IF(S21&lt;S20,0,$T$3*S21/100)</f>
        <v>0</v>
      </c>
      <c r="AH29" s="101"/>
      <c r="AI29" s="97">
        <f>SUM(AA29:AH29)</f>
        <v>0</v>
      </c>
      <c r="AJ29" s="98"/>
      <c r="AK29" s="98"/>
      <c r="AL29" s="2" t="s">
        <v>248</v>
      </c>
    </row>
    <row r="30" spans="1:38" ht="12.75" customHeight="1">
      <c r="A30" s="187"/>
      <c r="B30" s="125" t="s">
        <v>45</v>
      </c>
      <c r="C30" s="126"/>
      <c r="D30" s="126"/>
      <c r="E30" s="126"/>
      <c r="F30" s="161"/>
      <c r="G30" s="156">
        <f>G29+G27</f>
        <v>-24.210526315789473</v>
      </c>
      <c r="H30" s="157"/>
      <c r="I30" s="157"/>
      <c r="J30" s="158"/>
      <c r="K30" s="156">
        <f>K29+K27</f>
        <v>-28</v>
      </c>
      <c r="L30" s="157"/>
      <c r="M30" s="157"/>
      <c r="N30" s="158"/>
      <c r="O30" s="156">
        <f>O29+O27</f>
        <v>0</v>
      </c>
      <c r="P30" s="157"/>
      <c r="Q30" s="157"/>
      <c r="R30" s="158"/>
      <c r="S30" s="156">
        <f>S29+S27</f>
        <v>0</v>
      </c>
      <c r="T30" s="157"/>
      <c r="U30" s="157"/>
      <c r="V30" s="158"/>
      <c r="W30" s="153">
        <f t="shared" si="1"/>
        <v>-52.21052631578947</v>
      </c>
      <c r="X30" s="154"/>
      <c r="Y30" s="154"/>
      <c r="Z30" s="155"/>
      <c r="AA30" s="101">
        <f>IF(G21&lt;G20,0,$T$4*G21/100)</f>
        <v>0</v>
      </c>
      <c r="AB30" s="101"/>
      <c r="AC30" s="101">
        <f>IF(K21&lt;K20,0,$T$4*K21/100)</f>
        <v>0</v>
      </c>
      <c r="AD30" s="101"/>
      <c r="AE30" s="101">
        <f>IF(O21&lt;O20,0,$T$4*O21/100)</f>
        <v>0</v>
      </c>
      <c r="AF30" s="101"/>
      <c r="AG30" s="101">
        <f>IF(S21&lt;S20,0,$T$4*S21/100)</f>
        <v>0</v>
      </c>
      <c r="AH30" s="101"/>
      <c r="AI30" s="97">
        <f>SUM(AA30:AH30)</f>
        <v>0</v>
      </c>
      <c r="AJ30" s="98"/>
      <c r="AK30" s="98"/>
      <c r="AL30" s="2" t="s">
        <v>281</v>
      </c>
    </row>
    <row r="31" spans="1:38" ht="12.75">
      <c r="A31" s="187"/>
      <c r="B31" s="194" t="s">
        <v>26</v>
      </c>
      <c r="C31" s="98"/>
      <c r="D31" s="98"/>
      <c r="E31" s="98"/>
      <c r="F31" s="195"/>
      <c r="G31" s="196">
        <f>$AG23/100*$AL$3</f>
        <v>0</v>
      </c>
      <c r="H31" s="197"/>
      <c r="I31" s="197"/>
      <c r="J31" s="198"/>
      <c r="K31" s="137">
        <v>0</v>
      </c>
      <c r="L31" s="138"/>
      <c r="M31" s="138"/>
      <c r="N31" s="139"/>
      <c r="O31" s="137">
        <v>0</v>
      </c>
      <c r="P31" s="138"/>
      <c r="Q31" s="138"/>
      <c r="R31" s="139"/>
      <c r="S31" s="137">
        <v>0</v>
      </c>
      <c r="T31" s="138"/>
      <c r="U31" s="138"/>
      <c r="V31" s="139"/>
      <c r="W31" s="153">
        <f t="shared" si="1"/>
        <v>0</v>
      </c>
      <c r="X31" s="154"/>
      <c r="Y31" s="154"/>
      <c r="Z31" s="155"/>
      <c r="AI31" s="224">
        <f>'ЦФУ Продажи'!J$59</f>
        <v>0</v>
      </c>
      <c r="AJ31" s="224"/>
      <c r="AK31" s="224"/>
      <c r="AL31" s="2" t="s">
        <v>280</v>
      </c>
    </row>
    <row r="32" spans="1:38" ht="13.5" thickBot="1">
      <c r="A32" s="187"/>
      <c r="B32" s="191" t="s">
        <v>28</v>
      </c>
      <c r="C32" s="192"/>
      <c r="D32" s="192"/>
      <c r="E32" s="192"/>
      <c r="F32" s="193"/>
      <c r="G32" s="149">
        <f>IF(G31&lt;0,G24,G24+G31)</f>
        <v>10.7</v>
      </c>
      <c r="H32" s="147"/>
      <c r="I32" s="147"/>
      <c r="J32" s="148"/>
      <c r="K32" s="146">
        <v>0</v>
      </c>
      <c r="L32" s="147"/>
      <c r="M32" s="147"/>
      <c r="N32" s="148"/>
      <c r="O32" s="149">
        <f>IF(O31&lt;0,O24,O24+O31)</f>
        <v>0</v>
      </c>
      <c r="P32" s="147"/>
      <c r="Q32" s="147"/>
      <c r="R32" s="148"/>
      <c r="S32" s="146">
        <f>IF(S31&lt;0,S24,S24+S31)</f>
        <v>0</v>
      </c>
      <c r="T32" s="147"/>
      <c r="U32" s="147"/>
      <c r="V32" s="148"/>
      <c r="W32" s="150">
        <f t="shared" si="1"/>
        <v>10.7</v>
      </c>
      <c r="X32" s="151"/>
      <c r="Y32" s="151"/>
      <c r="Z32" s="152"/>
      <c r="AA32" s="101">
        <f>IF($AI28&gt;0,IF(AA28&gt;=0,0,G21*($T$2+$T$3+$T$5)/100-AA28),IF(G21&lt;G20,G21*($T$2+$T$3+$T$5)/100,AA28))</f>
        <v>0</v>
      </c>
      <c r="AB32" s="101"/>
      <c r="AC32" s="101">
        <f>IF($AI28&gt;=0,IF(AC28&gt;=0,0,K21*($T$2+$T$3+$T$4+$T$5)/100-AC28),IF(AC28&lt;0,K21*($T$2+$T$3+$T$4+$T$5)/100,AC28))</f>
        <v>0</v>
      </c>
      <c r="AD32" s="101"/>
      <c r="AE32" s="101">
        <f>IF($AI28&gt;=0,IF(AE28&gt;=0,0,O21*($T$2+$T$3+$T$4+$T$5)/100-AE28),IF(AE28&lt;0,O21*($T$2+$T$3+$T$4+$T$5)/100,AE28))</f>
        <v>0</v>
      </c>
      <c r="AF32" s="101"/>
      <c r="AG32" s="101">
        <f>IF($AI28&gt;=0,IF(AG28&gt;=0,0,S21*($T$2+$T$3+$T$4+$T$5)/100-AG28),IF(AG28&lt;0,S21*($T$2+$T$3+$T$4+$T$5)/100,AG28))</f>
        <v>0</v>
      </c>
      <c r="AH32" s="101"/>
      <c r="AI32" s="97">
        <f>SUM(AA32:AH32)</f>
        <v>0</v>
      </c>
      <c r="AJ32" s="98"/>
      <c r="AK32" s="98"/>
      <c r="AL32" s="2" t="s">
        <v>218</v>
      </c>
    </row>
    <row r="33" spans="1:35" ht="12.75" customHeight="1">
      <c r="A33" s="188" t="s">
        <v>63</v>
      </c>
      <c r="B33" s="93" t="s">
        <v>23</v>
      </c>
      <c r="C33" s="94"/>
      <c r="D33" s="94"/>
      <c r="E33" s="94"/>
      <c r="F33" s="199"/>
      <c r="G33" s="185">
        <v>425</v>
      </c>
      <c r="H33" s="183"/>
      <c r="I33" s="183"/>
      <c r="J33" s="184"/>
      <c r="K33" s="182">
        <v>200</v>
      </c>
      <c r="L33" s="183"/>
      <c r="M33" s="183"/>
      <c r="N33" s="184"/>
      <c r="O33" s="242">
        <v>0</v>
      </c>
      <c r="P33" s="243"/>
      <c r="Q33" s="243"/>
      <c r="R33" s="244"/>
      <c r="S33" s="242">
        <v>0</v>
      </c>
      <c r="T33" s="243"/>
      <c r="U33" s="243"/>
      <c r="V33" s="244"/>
      <c r="W33" s="170">
        <f t="shared" si="0"/>
        <v>625</v>
      </c>
      <c r="X33" s="171"/>
      <c r="Y33" s="171"/>
      <c r="Z33" s="172"/>
      <c r="AA33" s="93" t="s">
        <v>53</v>
      </c>
      <c r="AB33" s="94"/>
      <c r="AC33" s="94"/>
      <c r="AD33" s="94"/>
      <c r="AE33" s="94"/>
      <c r="AF33" s="94"/>
      <c r="AG33" s="173">
        <f>(W38+$N$2*AG39)/W33*100+$Q$2+$T$2+$T$3+$T$5</f>
        <v>14.94</v>
      </c>
      <c r="AH33" s="174"/>
      <c r="AI33" s="175"/>
    </row>
    <row r="34" spans="1:36" ht="12.75">
      <c r="A34" s="187"/>
      <c r="B34" s="125" t="s">
        <v>24</v>
      </c>
      <c r="C34" s="126"/>
      <c r="D34" s="126"/>
      <c r="E34" s="126"/>
      <c r="F34" s="161"/>
      <c r="G34" s="169">
        <v>425</v>
      </c>
      <c r="H34" s="167"/>
      <c r="I34" s="167"/>
      <c r="J34" s="168"/>
      <c r="K34" s="166">
        <v>200</v>
      </c>
      <c r="L34" s="167"/>
      <c r="M34" s="167"/>
      <c r="N34" s="168"/>
      <c r="O34" s="239">
        <v>0</v>
      </c>
      <c r="P34" s="240"/>
      <c r="Q34" s="240"/>
      <c r="R34" s="241"/>
      <c r="S34" s="239">
        <v>0</v>
      </c>
      <c r="T34" s="240"/>
      <c r="U34" s="240"/>
      <c r="V34" s="241"/>
      <c r="W34" s="153">
        <f t="shared" si="0"/>
        <v>625</v>
      </c>
      <c r="X34" s="154"/>
      <c r="Y34" s="154"/>
      <c r="Z34" s="155"/>
      <c r="AA34" s="125" t="s">
        <v>54</v>
      </c>
      <c r="AB34" s="126"/>
      <c r="AC34" s="126"/>
      <c r="AD34" s="126"/>
      <c r="AE34" s="126"/>
      <c r="AF34" s="126"/>
      <c r="AG34" s="180">
        <f>(AG33-$L$2)*W33/100</f>
        <v>70.84210526315789</v>
      </c>
      <c r="AH34" s="180"/>
      <c r="AI34" s="181"/>
      <c r="AJ34" s="2" t="s">
        <v>284</v>
      </c>
    </row>
    <row r="35" spans="1:43" ht="12.75">
      <c r="A35" s="187"/>
      <c r="B35" s="125" t="s">
        <v>29</v>
      </c>
      <c r="C35" s="126"/>
      <c r="D35" s="126"/>
      <c r="E35" s="126"/>
      <c r="F35" s="161"/>
      <c r="G35" s="156">
        <f>IF(G33&lt;=G34,$N$2+G34/100*($Q$2+$T$2)+$AI42/$AG39+$AI44+IF(AI41&gt;0,AI41,0),$N$2+G34/100*$Q$2+$AI42/$AG39+$AI44+IF(AI41&gt;0,AI41,0))</f>
        <v>14.575</v>
      </c>
      <c r="H35" s="157"/>
      <c r="I35" s="157"/>
      <c r="J35" s="158"/>
      <c r="K35" s="156">
        <f>IF(K33&lt;=K34,$N$2+K34/100*($Q$2+$T$2)+$AI42/$AG39+$AI44,$N$2+K34/100*$Q$2+$AI42/$AG39+$AI44)</f>
        <v>10.8</v>
      </c>
      <c r="L35" s="157"/>
      <c r="M35" s="157"/>
      <c r="N35" s="158"/>
      <c r="O35" s="156">
        <f>IF(O33&lt;=O34,$N$2+O34/100*($Q$2+$T$2)+$AI42/$AG39+$AI44,$N$2+O34/100*$Q$2+$AI42/$AG39+$AI44)</f>
        <v>8</v>
      </c>
      <c r="P35" s="157"/>
      <c r="Q35" s="157"/>
      <c r="R35" s="158"/>
      <c r="S35" s="156">
        <v>0</v>
      </c>
      <c r="T35" s="157"/>
      <c r="U35" s="157"/>
      <c r="V35" s="158"/>
      <c r="W35" s="153">
        <f aca="true" t="shared" si="2" ref="W35:W45">G35+K35+O35+S35</f>
        <v>33.375</v>
      </c>
      <c r="X35" s="154"/>
      <c r="Y35" s="154"/>
      <c r="Z35" s="155"/>
      <c r="AA35" s="205" t="s">
        <v>55</v>
      </c>
      <c r="AB35" s="126"/>
      <c r="AC35" s="126"/>
      <c r="AD35" s="126"/>
      <c r="AE35" s="126"/>
      <c r="AF35" s="126"/>
      <c r="AG35" s="122">
        <f>SUM(AJ36:AQ36)+AG34</f>
        <v>70.84210526315789</v>
      </c>
      <c r="AH35" s="123"/>
      <c r="AI35" s="124"/>
      <c r="AJ35" s="225">
        <f>$N$2+G33*($Q$2+$T$2+$T$3/$AG39)/100+$T$5*$W33/100</f>
        <v>14.575</v>
      </c>
      <c r="AK35" s="226"/>
      <c r="AL35" s="225">
        <f>$N$2+K33*($Q$2+$T$2+$T$3/$AG39)/100</f>
        <v>10.8</v>
      </c>
      <c r="AM35" s="226"/>
      <c r="AN35" s="225">
        <f>$N$2+O33*($Q$2+$T$2+$T$3/$AG39)/100</f>
        <v>8</v>
      </c>
      <c r="AO35" s="226"/>
      <c r="AP35" s="225">
        <f>$N$2+S33*($Q$2+$T$2+$T$3/$AG39)/100</f>
        <v>8</v>
      </c>
      <c r="AQ35" s="226"/>
    </row>
    <row r="36" spans="1:43" ht="12.75">
      <c r="A36" s="187"/>
      <c r="B36" s="125" t="s">
        <v>10</v>
      </c>
      <c r="C36" s="126"/>
      <c r="D36" s="126"/>
      <c r="E36" s="126"/>
      <c r="F36" s="161"/>
      <c r="G36" s="169">
        <v>8</v>
      </c>
      <c r="H36" s="167"/>
      <c r="I36" s="167"/>
      <c r="J36" s="168"/>
      <c r="K36" s="166">
        <v>8</v>
      </c>
      <c r="L36" s="167"/>
      <c r="M36" s="167"/>
      <c r="N36" s="168"/>
      <c r="O36" s="169">
        <v>8</v>
      </c>
      <c r="P36" s="167"/>
      <c r="Q36" s="167"/>
      <c r="R36" s="168"/>
      <c r="S36" s="166">
        <v>0</v>
      </c>
      <c r="T36" s="167"/>
      <c r="U36" s="167"/>
      <c r="V36" s="168"/>
      <c r="W36" s="153">
        <f t="shared" si="2"/>
        <v>24</v>
      </c>
      <c r="X36" s="154"/>
      <c r="Y36" s="154"/>
      <c r="Z36" s="155"/>
      <c r="AA36" s="205" t="s">
        <v>56</v>
      </c>
      <c r="AB36" s="126"/>
      <c r="AC36" s="126"/>
      <c r="AD36" s="126"/>
      <c r="AE36" s="126"/>
      <c r="AF36" s="126"/>
      <c r="AG36" s="134">
        <f>W43+AG35</f>
        <v>0</v>
      </c>
      <c r="AH36" s="134"/>
      <c r="AI36" s="135"/>
      <c r="AJ36" s="225">
        <f>IF(AJ35&gt;G36,0,G36-AJ35)</f>
        <v>0</v>
      </c>
      <c r="AK36" s="226"/>
      <c r="AL36" s="225">
        <f>IF(AL35&gt;K36,0,K36-AL35)</f>
        <v>0</v>
      </c>
      <c r="AM36" s="226"/>
      <c r="AN36" s="225">
        <f>IF(AN35&gt;O36,0,O36-AN35)</f>
        <v>0</v>
      </c>
      <c r="AO36" s="226"/>
      <c r="AP36" s="225">
        <f>IF(AP35&gt;S36,0,S36-AP35)</f>
        <v>0</v>
      </c>
      <c r="AQ36" s="226"/>
    </row>
    <row r="37" spans="1:35" ht="13.5" thickBot="1">
      <c r="A37" s="187"/>
      <c r="B37" s="125" t="s">
        <v>58</v>
      </c>
      <c r="C37" s="126"/>
      <c r="D37" s="126"/>
      <c r="E37" s="126"/>
      <c r="F37" s="161"/>
      <c r="G37" s="156">
        <f>IF(G35&lt;G36,G36,G35)</f>
        <v>14.575</v>
      </c>
      <c r="H37" s="157"/>
      <c r="I37" s="157"/>
      <c r="J37" s="158"/>
      <c r="K37" s="156">
        <f>IF(K35&lt;K36,K36,K35)</f>
        <v>10.8</v>
      </c>
      <c r="L37" s="157"/>
      <c r="M37" s="157"/>
      <c r="N37" s="158"/>
      <c r="O37" s="156">
        <f>IF(O35&lt;O36,O36,O35)</f>
        <v>8</v>
      </c>
      <c r="P37" s="157"/>
      <c r="Q37" s="157"/>
      <c r="R37" s="158"/>
      <c r="S37" s="156">
        <f>IF(S35&lt;S36,S36,S35)</f>
        <v>0</v>
      </c>
      <c r="T37" s="157"/>
      <c r="U37" s="157"/>
      <c r="V37" s="158"/>
      <c r="W37" s="153">
        <f t="shared" si="2"/>
        <v>33.375</v>
      </c>
      <c r="X37" s="154"/>
      <c r="Y37" s="154"/>
      <c r="Z37" s="155"/>
      <c r="AA37" s="232" t="s">
        <v>57</v>
      </c>
      <c r="AB37" s="90"/>
      <c r="AC37" s="90"/>
      <c r="AD37" s="90"/>
      <c r="AE37" s="90"/>
      <c r="AF37" s="90"/>
      <c r="AG37" s="91">
        <f>-AG35+AG36-W44</f>
        <v>-70.84210526315789</v>
      </c>
      <c r="AH37" s="91"/>
      <c r="AI37" s="85"/>
    </row>
    <row r="38" spans="1:35" ht="13.5" thickBot="1">
      <c r="A38" s="187"/>
      <c r="B38" s="125" t="s">
        <v>41</v>
      </c>
      <c r="C38" s="126"/>
      <c r="D38" s="126"/>
      <c r="E38" s="126"/>
      <c r="F38" s="161"/>
      <c r="G38" s="156">
        <v>20</v>
      </c>
      <c r="H38" s="157"/>
      <c r="I38" s="157"/>
      <c r="J38" s="158"/>
      <c r="K38" s="156">
        <v>20</v>
      </c>
      <c r="L38" s="157"/>
      <c r="M38" s="157"/>
      <c r="N38" s="158"/>
      <c r="O38" s="156">
        <v>20</v>
      </c>
      <c r="P38" s="157"/>
      <c r="Q38" s="157"/>
      <c r="R38" s="158"/>
      <c r="S38" s="156">
        <v>0</v>
      </c>
      <c r="T38" s="157"/>
      <c r="U38" s="157"/>
      <c r="V38" s="158"/>
      <c r="W38" s="153">
        <f t="shared" si="2"/>
        <v>60</v>
      </c>
      <c r="X38" s="154"/>
      <c r="Y38" s="154"/>
      <c r="Z38" s="155"/>
      <c r="AA38" s="230" t="s">
        <v>59</v>
      </c>
      <c r="AB38" s="231"/>
      <c r="AC38" s="231"/>
      <c r="AD38" s="231"/>
      <c r="AE38" s="231"/>
      <c r="AF38" s="231"/>
      <c r="AG38" s="88">
        <f>AG35+AG37</f>
        <v>0</v>
      </c>
      <c r="AH38" s="89"/>
      <c r="AI38" s="84"/>
    </row>
    <row r="39" spans="1:35" ht="12.75">
      <c r="A39" s="187"/>
      <c r="B39" s="125" t="s">
        <v>42</v>
      </c>
      <c r="C39" s="126"/>
      <c r="D39" s="126"/>
      <c r="E39" s="126"/>
      <c r="F39" s="161"/>
      <c r="G39" s="169">
        <v>20</v>
      </c>
      <c r="H39" s="167"/>
      <c r="I39" s="167"/>
      <c r="J39" s="168"/>
      <c r="K39" s="166">
        <v>20</v>
      </c>
      <c r="L39" s="167"/>
      <c r="M39" s="167"/>
      <c r="N39" s="168"/>
      <c r="O39" s="169">
        <v>20</v>
      </c>
      <c r="P39" s="167"/>
      <c r="Q39" s="167"/>
      <c r="R39" s="168"/>
      <c r="S39" s="166">
        <v>0</v>
      </c>
      <c r="T39" s="167"/>
      <c r="U39" s="167"/>
      <c r="V39" s="168"/>
      <c r="W39" s="153">
        <f t="shared" si="2"/>
        <v>60</v>
      </c>
      <c r="X39" s="154"/>
      <c r="Y39" s="154"/>
      <c r="Z39" s="155"/>
      <c r="AA39" s="228" t="s">
        <v>279</v>
      </c>
      <c r="AB39" s="229"/>
      <c r="AC39" s="229"/>
      <c r="AD39" s="229"/>
      <c r="AE39" s="229"/>
      <c r="AF39" s="229"/>
      <c r="AG39" s="95">
        <v>3</v>
      </c>
      <c r="AH39" s="95"/>
      <c r="AI39" s="95"/>
    </row>
    <row r="40" spans="1:35" ht="12.75">
      <c r="A40" s="187"/>
      <c r="B40" s="125" t="s">
        <v>43</v>
      </c>
      <c r="C40" s="126"/>
      <c r="D40" s="126"/>
      <c r="E40" s="126"/>
      <c r="F40" s="161"/>
      <c r="G40" s="165">
        <f>G38-G39</f>
        <v>0</v>
      </c>
      <c r="H40" s="163"/>
      <c r="I40" s="163"/>
      <c r="J40" s="164"/>
      <c r="K40" s="165">
        <f>K38-K39</f>
        <v>0</v>
      </c>
      <c r="L40" s="163"/>
      <c r="M40" s="163"/>
      <c r="N40" s="164"/>
      <c r="O40" s="165">
        <f>O38-O39</f>
        <v>0</v>
      </c>
      <c r="P40" s="163"/>
      <c r="Q40" s="163"/>
      <c r="R40" s="164"/>
      <c r="S40" s="165">
        <f>S38-S39</f>
        <v>0</v>
      </c>
      <c r="T40" s="163"/>
      <c r="U40" s="163"/>
      <c r="V40" s="164"/>
      <c r="W40" s="153">
        <f t="shared" si="2"/>
        <v>0</v>
      </c>
      <c r="X40" s="154"/>
      <c r="Y40" s="154"/>
      <c r="Z40" s="155"/>
      <c r="AA40" s="132">
        <f>W34*$L$2/100-AI45</f>
        <v>22.532894736842103</v>
      </c>
      <c r="AB40" s="233"/>
      <c r="AC40" s="233"/>
      <c r="AD40" s="233"/>
      <c r="AE40" s="233"/>
      <c r="AF40" s="233"/>
      <c r="AG40" s="233"/>
      <c r="AH40" s="233"/>
      <c r="AI40" s="233"/>
    </row>
    <row r="41" spans="1:38" ht="12.75">
      <c r="A41" s="187"/>
      <c r="B41" s="125" t="s">
        <v>30</v>
      </c>
      <c r="C41" s="126"/>
      <c r="D41" s="126"/>
      <c r="E41" s="126"/>
      <c r="F41" s="161"/>
      <c r="G41" s="156">
        <f>G34*$L$2/100-AA45</f>
        <v>15.322368421052632</v>
      </c>
      <c r="H41" s="157"/>
      <c r="I41" s="157"/>
      <c r="J41" s="158"/>
      <c r="K41" s="156">
        <f>K34*$L$2/100-AC45</f>
        <v>7.210526315789474</v>
      </c>
      <c r="L41" s="157"/>
      <c r="M41" s="157"/>
      <c r="N41" s="158"/>
      <c r="O41" s="156">
        <f>O34*$L$2/100-AE45</f>
        <v>0</v>
      </c>
      <c r="P41" s="157"/>
      <c r="Q41" s="157"/>
      <c r="R41" s="158"/>
      <c r="S41" s="156">
        <f>S34*$L$2/100-AG45</f>
        <v>0</v>
      </c>
      <c r="T41" s="157"/>
      <c r="U41" s="157"/>
      <c r="V41" s="158"/>
      <c r="W41" s="153">
        <f t="shared" si="2"/>
        <v>22.532894736842106</v>
      </c>
      <c r="X41" s="154"/>
      <c r="Y41" s="154"/>
      <c r="Z41" s="155"/>
      <c r="AA41" s="101">
        <f>IF(G34&lt;G33,$T$5*(G34-G33)*$L$3/100,$T$5*G34/100)</f>
        <v>0.425</v>
      </c>
      <c r="AB41" s="101"/>
      <c r="AC41" s="101">
        <f>IF(K34&lt;K33,$T$5*(K34-K33)*$L$3/100,$T$5*K34/100)</f>
        <v>0.2</v>
      </c>
      <c r="AD41" s="101"/>
      <c r="AE41" s="101">
        <f>IF(O34&lt;O33,$T$5*(O34-O33)*$L$3/100,$T$5*O34/100)</f>
        <v>0</v>
      </c>
      <c r="AF41" s="101"/>
      <c r="AG41" s="101">
        <f>IF(S34&lt;S33,$T$5*(S34-S33)*$L$3/100,$T$5*S34/100)</f>
        <v>0</v>
      </c>
      <c r="AH41" s="101"/>
      <c r="AI41" s="97">
        <f>SUM(AA41:AH41)</f>
        <v>0.625</v>
      </c>
      <c r="AJ41" s="98"/>
      <c r="AK41" s="98"/>
      <c r="AL41" s="2" t="s">
        <v>277</v>
      </c>
    </row>
    <row r="42" spans="1:38" ht="12.75">
      <c r="A42" s="187"/>
      <c r="B42" s="125" t="s">
        <v>283</v>
      </c>
      <c r="C42" s="126"/>
      <c r="D42" s="126"/>
      <c r="E42" s="126"/>
      <c r="F42" s="161"/>
      <c r="G42" s="156">
        <f>G41-G38-G37+$AI44</f>
        <v>-19.252631578947366</v>
      </c>
      <c r="H42" s="157"/>
      <c r="I42" s="157"/>
      <c r="J42" s="158"/>
      <c r="K42" s="156">
        <f>K41-K38-K37+$AI44</f>
        <v>-23.589473684210525</v>
      </c>
      <c r="L42" s="157"/>
      <c r="M42" s="157"/>
      <c r="N42" s="158"/>
      <c r="O42" s="156">
        <f>O41-O38-O37+$AI44</f>
        <v>-28</v>
      </c>
      <c r="P42" s="157"/>
      <c r="Q42" s="157"/>
      <c r="R42" s="158"/>
      <c r="S42" s="156">
        <f>S41-S38-S37+$AI44</f>
        <v>0</v>
      </c>
      <c r="T42" s="157"/>
      <c r="U42" s="157"/>
      <c r="V42" s="158"/>
      <c r="W42" s="153">
        <f t="shared" si="2"/>
        <v>-70.84210526315789</v>
      </c>
      <c r="X42" s="154"/>
      <c r="Y42" s="154"/>
      <c r="Z42" s="159"/>
      <c r="AA42" s="101">
        <f>IF(G34&lt;G33,0,$T$3*G34/100)</f>
        <v>0</v>
      </c>
      <c r="AB42" s="101"/>
      <c r="AC42" s="101">
        <f>IF(K34&lt;K33,0,$T$3*K34/100)</f>
        <v>0</v>
      </c>
      <c r="AD42" s="101"/>
      <c r="AE42" s="101">
        <f>IF(O34&lt;O33,0,$T$3*O34/100)</f>
        <v>0</v>
      </c>
      <c r="AF42" s="101"/>
      <c r="AG42" s="101">
        <f>IF(S34&lt;S33,0,$T$3*S34/100)</f>
        <v>0</v>
      </c>
      <c r="AH42" s="101"/>
      <c r="AI42" s="97">
        <f>SUM(AA42:AH42)</f>
        <v>0</v>
      </c>
      <c r="AJ42" s="98"/>
      <c r="AK42" s="98"/>
      <c r="AL42" s="2" t="s">
        <v>248</v>
      </c>
    </row>
    <row r="43" spans="1:38" ht="12.75" customHeight="1">
      <c r="A43" s="187"/>
      <c r="B43" s="125" t="s">
        <v>45</v>
      </c>
      <c r="C43" s="126"/>
      <c r="D43" s="126"/>
      <c r="E43" s="126"/>
      <c r="F43" s="161"/>
      <c r="G43" s="156">
        <f>G42+G40</f>
        <v>-19.252631578947366</v>
      </c>
      <c r="H43" s="157"/>
      <c r="I43" s="157"/>
      <c r="J43" s="158"/>
      <c r="K43" s="156">
        <f>K42+K40</f>
        <v>-23.589473684210525</v>
      </c>
      <c r="L43" s="157"/>
      <c r="M43" s="157"/>
      <c r="N43" s="158"/>
      <c r="O43" s="156">
        <f>O42+O40</f>
        <v>-28</v>
      </c>
      <c r="P43" s="157"/>
      <c r="Q43" s="157"/>
      <c r="R43" s="158"/>
      <c r="S43" s="156">
        <f>S42+S40</f>
        <v>0</v>
      </c>
      <c r="T43" s="157"/>
      <c r="U43" s="157"/>
      <c r="V43" s="158"/>
      <c r="W43" s="153">
        <f t="shared" si="2"/>
        <v>-70.84210526315789</v>
      </c>
      <c r="X43" s="154"/>
      <c r="Y43" s="154"/>
      <c r="Z43" s="155"/>
      <c r="AA43" s="101">
        <f>IF(G34&lt;G33,0,$T$4*G34/100)</f>
        <v>0</v>
      </c>
      <c r="AB43" s="101"/>
      <c r="AC43" s="101">
        <f>IF(K34&lt;K33,0,$T$4*K34/100)</f>
        <v>0</v>
      </c>
      <c r="AD43" s="101"/>
      <c r="AE43" s="101">
        <f>IF(O34&lt;O33,0,$T$4*O34/100)</f>
        <v>0</v>
      </c>
      <c r="AF43" s="101"/>
      <c r="AG43" s="101">
        <f>IF(S34&lt;S33,0,$T$4*S34/100)</f>
        <v>0</v>
      </c>
      <c r="AH43" s="101"/>
      <c r="AI43" s="97">
        <f>SUM(AA43:AH43)</f>
        <v>0</v>
      </c>
      <c r="AJ43" s="98"/>
      <c r="AK43" s="98"/>
      <c r="AL43" s="2" t="s">
        <v>281</v>
      </c>
    </row>
    <row r="44" spans="1:38" ht="12.75">
      <c r="A44" s="187"/>
      <c r="B44" s="194" t="s">
        <v>26</v>
      </c>
      <c r="C44" s="98"/>
      <c r="D44" s="98"/>
      <c r="E44" s="98"/>
      <c r="F44" s="195"/>
      <c r="G44" s="196">
        <f>$AG36/100*$AL$3</f>
        <v>0</v>
      </c>
      <c r="H44" s="197"/>
      <c r="I44" s="197"/>
      <c r="J44" s="198"/>
      <c r="K44" s="196">
        <f>$AG36/100*$AL$3</f>
        <v>0</v>
      </c>
      <c r="L44" s="197"/>
      <c r="M44" s="197"/>
      <c r="N44" s="198"/>
      <c r="O44" s="196">
        <f>$AG36/100*$AL$3</f>
        <v>0</v>
      </c>
      <c r="P44" s="197"/>
      <c r="Q44" s="197"/>
      <c r="R44" s="198"/>
      <c r="S44" s="196">
        <f>$AG36/100*$AL$3</f>
        <v>0</v>
      </c>
      <c r="T44" s="197"/>
      <c r="U44" s="197"/>
      <c r="V44" s="198"/>
      <c r="W44" s="153">
        <f t="shared" si="2"/>
        <v>0</v>
      </c>
      <c r="X44" s="154"/>
      <c r="Y44" s="154"/>
      <c r="Z44" s="155"/>
      <c r="AI44" s="224">
        <f>'ЦФУ Продажи'!M$59</f>
        <v>0</v>
      </c>
      <c r="AJ44" s="224"/>
      <c r="AK44" s="224"/>
      <c r="AL44" s="2" t="s">
        <v>280</v>
      </c>
    </row>
    <row r="45" spans="1:38" ht="13.5" thickBot="1">
      <c r="A45" s="187"/>
      <c r="B45" s="191" t="s">
        <v>28</v>
      </c>
      <c r="C45" s="192"/>
      <c r="D45" s="192"/>
      <c r="E45" s="192"/>
      <c r="F45" s="193"/>
      <c r="G45" s="149">
        <f>IF(G44&lt;0,G37,G37+G44)</f>
        <v>14.575</v>
      </c>
      <c r="H45" s="147"/>
      <c r="I45" s="147"/>
      <c r="J45" s="148"/>
      <c r="K45" s="146">
        <v>0</v>
      </c>
      <c r="L45" s="147"/>
      <c r="M45" s="147"/>
      <c r="N45" s="148"/>
      <c r="O45" s="149">
        <f>IF(O44&lt;0,O37,O37+O44)</f>
        <v>8</v>
      </c>
      <c r="P45" s="147"/>
      <c r="Q45" s="147"/>
      <c r="R45" s="148"/>
      <c r="S45" s="146">
        <f>IF(S44&lt;0,S37,S37+S44)</f>
        <v>0</v>
      </c>
      <c r="T45" s="147"/>
      <c r="U45" s="147"/>
      <c r="V45" s="148"/>
      <c r="W45" s="150">
        <f t="shared" si="2"/>
        <v>22.575</v>
      </c>
      <c r="X45" s="151"/>
      <c r="Y45" s="151"/>
      <c r="Z45" s="152"/>
      <c r="AA45" s="101">
        <f>IF($AI41&gt;0,IF(AA41&gt;=0,0,G34*($T$2+$T$3+$T$5)/100-AA41),IF(G34&lt;G33,G34*($T$2+$T$3+$T$5)/100,AA41))</f>
        <v>0</v>
      </c>
      <c r="AB45" s="101"/>
      <c r="AC45" s="101">
        <f>IF($AI41&gt;=0,IF(AC41&gt;=0,0,K34*($T$2+$T$3+$T$4+$T$5)/100-AC41),IF(AC41&lt;0,K34*($T$2+$T$3+$T$4+$T$5)/100,AC41))</f>
        <v>0</v>
      </c>
      <c r="AD45" s="101"/>
      <c r="AE45" s="101">
        <f>IF($AI41&gt;=0,IF(AE41&gt;=0,0,O34*($T$2+$T$3+$T$4+$T$5)/100-AE41),IF(AE41&lt;0,O34*($T$2+$T$3+$T$4+$T$5)/100,AE41))</f>
        <v>0</v>
      </c>
      <c r="AF45" s="101"/>
      <c r="AG45" s="101">
        <f>IF($AI41&gt;=0,IF(AG41&gt;=0,0,S34*($T$2+$T$3+$T$4+$T$5)/100-AG41),IF(AG41&lt;0,S34*($T$2+$T$3+$T$4+$T$5)/100,AG41))</f>
        <v>0</v>
      </c>
      <c r="AH45" s="101"/>
      <c r="AI45" s="97">
        <f>SUM(AA45:AH45)</f>
        <v>0</v>
      </c>
      <c r="AJ45" s="98"/>
      <c r="AK45" s="98"/>
      <c r="AL45" s="2" t="s">
        <v>218</v>
      </c>
    </row>
    <row r="46" spans="1:35" ht="12.75" customHeight="1">
      <c r="A46" s="188" t="s">
        <v>64</v>
      </c>
      <c r="B46" s="93" t="s">
        <v>23</v>
      </c>
      <c r="C46" s="94"/>
      <c r="D46" s="94"/>
      <c r="E46" s="94"/>
      <c r="F46" s="199"/>
      <c r="G46" s="185">
        <v>560</v>
      </c>
      <c r="H46" s="183"/>
      <c r="I46" s="183"/>
      <c r="J46" s="184"/>
      <c r="K46" s="182">
        <v>500</v>
      </c>
      <c r="L46" s="183"/>
      <c r="M46" s="183"/>
      <c r="N46" s="184"/>
      <c r="O46" s="242">
        <v>200</v>
      </c>
      <c r="P46" s="243"/>
      <c r="Q46" s="243"/>
      <c r="R46" s="244"/>
      <c r="S46" s="242">
        <v>0</v>
      </c>
      <c r="T46" s="243"/>
      <c r="U46" s="243"/>
      <c r="V46" s="244"/>
      <c r="W46" s="170">
        <f aca="true" t="shared" si="3" ref="W46:W71">G46+K46+O46+S46</f>
        <v>1260</v>
      </c>
      <c r="X46" s="171"/>
      <c r="Y46" s="171"/>
      <c r="Z46" s="172"/>
      <c r="AA46" s="234" t="s">
        <v>53</v>
      </c>
      <c r="AB46" s="235"/>
      <c r="AC46" s="235"/>
      <c r="AD46" s="235"/>
      <c r="AE46" s="235"/>
      <c r="AF46" s="236"/>
      <c r="AG46" s="173">
        <f>(W51+$N$2*AG52)/W46*100+$Q$2+$T$2+$T$3+$T$5</f>
        <v>10.38888888888889</v>
      </c>
      <c r="AH46" s="174"/>
      <c r="AI46" s="175"/>
    </row>
    <row r="47" spans="1:36" ht="12.75">
      <c r="A47" s="187"/>
      <c r="B47" s="125" t="s">
        <v>24</v>
      </c>
      <c r="C47" s="126"/>
      <c r="D47" s="126"/>
      <c r="E47" s="126"/>
      <c r="F47" s="161"/>
      <c r="G47" s="169">
        <v>560</v>
      </c>
      <c r="H47" s="167"/>
      <c r="I47" s="167"/>
      <c r="J47" s="168"/>
      <c r="K47" s="166">
        <v>500</v>
      </c>
      <c r="L47" s="167"/>
      <c r="M47" s="167"/>
      <c r="N47" s="168"/>
      <c r="O47" s="239">
        <v>200</v>
      </c>
      <c r="P47" s="240"/>
      <c r="Q47" s="240"/>
      <c r="R47" s="241"/>
      <c r="S47" s="239">
        <v>0</v>
      </c>
      <c r="T47" s="240"/>
      <c r="U47" s="240"/>
      <c r="V47" s="241"/>
      <c r="W47" s="153">
        <f t="shared" si="3"/>
        <v>1260</v>
      </c>
      <c r="X47" s="154"/>
      <c r="Y47" s="154"/>
      <c r="Z47" s="155"/>
      <c r="AA47" s="237" t="s">
        <v>54</v>
      </c>
      <c r="AB47" s="204"/>
      <c r="AC47" s="204"/>
      <c r="AD47" s="204"/>
      <c r="AE47" s="204"/>
      <c r="AF47" s="205"/>
      <c r="AG47" s="180">
        <f>(AG46-$L$2)*W46/100</f>
        <v>85.47368421052633</v>
      </c>
      <c r="AH47" s="180"/>
      <c r="AI47" s="181"/>
      <c r="AJ47" s="2" t="s">
        <v>284</v>
      </c>
    </row>
    <row r="48" spans="1:43" ht="12.75">
      <c r="A48" s="187"/>
      <c r="B48" s="125" t="s">
        <v>29</v>
      </c>
      <c r="C48" s="126"/>
      <c r="D48" s="126"/>
      <c r="E48" s="126"/>
      <c r="F48" s="161"/>
      <c r="G48" s="156">
        <f>IF(G46&lt;=G47,$N$2+G47/100*($Q$2+$T$2)+$AI55/$AG52+$AI57+IF(AI54&gt;0,AI54,0),$N$2+G47/100*$Q$2+$AI55/$AG52+$AI57+IF(AI54&gt;0,AI54,0))</f>
        <v>17.1</v>
      </c>
      <c r="H48" s="157"/>
      <c r="I48" s="157"/>
      <c r="J48" s="158"/>
      <c r="K48" s="156">
        <f>IF(K46&lt;=K47,$N$2+K47/100*($Q$2+$T$2)+$AI55/$AG52+$AI57,$N$2+K47/100*$Q$2+$AI55/$AG52+$AI57)</f>
        <v>15</v>
      </c>
      <c r="L48" s="157"/>
      <c r="M48" s="157"/>
      <c r="N48" s="158"/>
      <c r="O48" s="156">
        <f>IF(O46&lt;=O47,$N$2+O47/100*($Q$2+$T$2)+$AI55/$AG52+$AI57,$N$2+O47/100*$Q$2+$AI55/$AG52+$AI57)</f>
        <v>10.8</v>
      </c>
      <c r="P48" s="157"/>
      <c r="Q48" s="157"/>
      <c r="R48" s="158"/>
      <c r="S48" s="156">
        <f>IF(S46&lt;=S47,$N$2+S47/100*($Q$2+$T$2)+$AI55/$AG52+$AI57,$N$2+S47/100*$Q$2+$AI55/$AG52+$AI57)</f>
        <v>8</v>
      </c>
      <c r="T48" s="157"/>
      <c r="U48" s="157"/>
      <c r="V48" s="158"/>
      <c r="W48" s="153">
        <f t="shared" si="3"/>
        <v>50.900000000000006</v>
      </c>
      <c r="X48" s="154"/>
      <c r="Y48" s="154"/>
      <c r="Z48" s="155"/>
      <c r="AA48" s="205" t="s">
        <v>55</v>
      </c>
      <c r="AB48" s="126"/>
      <c r="AC48" s="126"/>
      <c r="AD48" s="126"/>
      <c r="AE48" s="126"/>
      <c r="AF48" s="126"/>
      <c r="AG48" s="122">
        <f>SUM(AJ49:AQ49)+AG47</f>
        <v>85.47368421052633</v>
      </c>
      <c r="AH48" s="123"/>
      <c r="AI48" s="124"/>
      <c r="AJ48" s="225">
        <f>$N$2+G46*($Q$2+$T$2+$T$3/$AG52)/100+$T$5*$W46/100</f>
        <v>17.1</v>
      </c>
      <c r="AK48" s="226"/>
      <c r="AL48" s="225">
        <f>$N$2+K46*($Q$2+$T$2+$T$3/$AG52)/100</f>
        <v>15</v>
      </c>
      <c r="AM48" s="226"/>
      <c r="AN48" s="225">
        <f>$N$2+O46*($Q$2+$T$2+$T$3/$AG52)/100</f>
        <v>10.8</v>
      </c>
      <c r="AO48" s="226"/>
      <c r="AP48" s="225">
        <f>$N$2+S46*($Q$2+$T$2+$T$3/$AG52)/100</f>
        <v>8</v>
      </c>
      <c r="AQ48" s="226"/>
    </row>
    <row r="49" spans="1:43" ht="12.75">
      <c r="A49" s="187"/>
      <c r="B49" s="125" t="s">
        <v>10</v>
      </c>
      <c r="C49" s="126"/>
      <c r="D49" s="126"/>
      <c r="E49" s="126"/>
      <c r="F49" s="161"/>
      <c r="G49" s="169">
        <v>8</v>
      </c>
      <c r="H49" s="167"/>
      <c r="I49" s="167"/>
      <c r="J49" s="168"/>
      <c r="K49" s="166">
        <v>8</v>
      </c>
      <c r="L49" s="167"/>
      <c r="M49" s="167"/>
      <c r="N49" s="168"/>
      <c r="O49" s="169">
        <v>8</v>
      </c>
      <c r="P49" s="167"/>
      <c r="Q49" s="167"/>
      <c r="R49" s="168"/>
      <c r="S49" s="166">
        <v>8</v>
      </c>
      <c r="T49" s="167"/>
      <c r="U49" s="167"/>
      <c r="V49" s="168"/>
      <c r="W49" s="153">
        <f t="shared" si="3"/>
        <v>32</v>
      </c>
      <c r="X49" s="154"/>
      <c r="Y49" s="154"/>
      <c r="Z49" s="155"/>
      <c r="AA49" s="205" t="s">
        <v>56</v>
      </c>
      <c r="AB49" s="126"/>
      <c r="AC49" s="126"/>
      <c r="AD49" s="126"/>
      <c r="AE49" s="126"/>
      <c r="AF49" s="126"/>
      <c r="AG49" s="134">
        <f>W56+AG48</f>
        <v>0</v>
      </c>
      <c r="AH49" s="134"/>
      <c r="AI49" s="135"/>
      <c r="AJ49" s="225">
        <f>IF(AJ48&gt;G49,0,G49-AJ48)</f>
        <v>0</v>
      </c>
      <c r="AK49" s="226"/>
      <c r="AL49" s="225">
        <f>IF(AL48&gt;K49,0,K49-AL48)</f>
        <v>0</v>
      </c>
      <c r="AM49" s="226"/>
      <c r="AN49" s="225">
        <f>IF(AN48&gt;O49,0,O49-AN48)</f>
        <v>0</v>
      </c>
      <c r="AO49" s="226"/>
      <c r="AP49" s="225">
        <f>IF(AP48&gt;S49,0,S49-AP48)</f>
        <v>0</v>
      </c>
      <c r="AQ49" s="226"/>
    </row>
    <row r="50" spans="1:35" ht="13.5" thickBot="1">
      <c r="A50" s="187"/>
      <c r="B50" s="125" t="s">
        <v>58</v>
      </c>
      <c r="C50" s="126"/>
      <c r="D50" s="126"/>
      <c r="E50" s="126"/>
      <c r="F50" s="161"/>
      <c r="G50" s="156">
        <f>IF(G48&lt;G49,G49,G48)</f>
        <v>17.1</v>
      </c>
      <c r="H50" s="157"/>
      <c r="I50" s="157"/>
      <c r="J50" s="158"/>
      <c r="K50" s="156">
        <f>IF(K48&lt;K49,K49,K48)</f>
        <v>15</v>
      </c>
      <c r="L50" s="157"/>
      <c r="M50" s="157"/>
      <c r="N50" s="158"/>
      <c r="O50" s="156">
        <f>IF(O48&lt;O49,O49,O48)</f>
        <v>10.8</v>
      </c>
      <c r="P50" s="157"/>
      <c r="Q50" s="157"/>
      <c r="R50" s="158"/>
      <c r="S50" s="156">
        <f>IF(S48&lt;S49,S49,S48)</f>
        <v>8</v>
      </c>
      <c r="T50" s="157"/>
      <c r="U50" s="157"/>
      <c r="V50" s="158"/>
      <c r="W50" s="153">
        <f t="shared" si="3"/>
        <v>50.900000000000006</v>
      </c>
      <c r="X50" s="154"/>
      <c r="Y50" s="154"/>
      <c r="Z50" s="155"/>
      <c r="AA50" s="232" t="s">
        <v>57</v>
      </c>
      <c r="AB50" s="90"/>
      <c r="AC50" s="90"/>
      <c r="AD50" s="90"/>
      <c r="AE50" s="90"/>
      <c r="AF50" s="90"/>
      <c r="AG50" s="91">
        <f>-AG48+AG49-W57</f>
        <v>-85.47368421052633</v>
      </c>
      <c r="AH50" s="91"/>
      <c r="AI50" s="85"/>
    </row>
    <row r="51" spans="1:35" ht="13.5" thickBot="1">
      <c r="A51" s="187"/>
      <c r="B51" s="125" t="s">
        <v>41</v>
      </c>
      <c r="C51" s="126"/>
      <c r="D51" s="126"/>
      <c r="E51" s="126"/>
      <c r="F51" s="161"/>
      <c r="G51" s="156">
        <v>20</v>
      </c>
      <c r="H51" s="157"/>
      <c r="I51" s="157"/>
      <c r="J51" s="158"/>
      <c r="K51" s="156">
        <v>20</v>
      </c>
      <c r="L51" s="157"/>
      <c r="M51" s="157"/>
      <c r="N51" s="158"/>
      <c r="O51" s="156">
        <v>20</v>
      </c>
      <c r="P51" s="157"/>
      <c r="Q51" s="157"/>
      <c r="R51" s="158"/>
      <c r="S51" s="156">
        <v>20</v>
      </c>
      <c r="T51" s="157"/>
      <c r="U51" s="157"/>
      <c r="V51" s="158"/>
      <c r="W51" s="153">
        <f t="shared" si="3"/>
        <v>80</v>
      </c>
      <c r="X51" s="154"/>
      <c r="Y51" s="154"/>
      <c r="Z51" s="155"/>
      <c r="AA51" s="230" t="s">
        <v>59</v>
      </c>
      <c r="AB51" s="231"/>
      <c r="AC51" s="231"/>
      <c r="AD51" s="231"/>
      <c r="AE51" s="231"/>
      <c r="AF51" s="231"/>
      <c r="AG51" s="88">
        <f>AG48+AG50</f>
        <v>0</v>
      </c>
      <c r="AH51" s="89"/>
      <c r="AI51" s="84"/>
    </row>
    <row r="52" spans="1:35" ht="12.75">
      <c r="A52" s="187"/>
      <c r="B52" s="125" t="s">
        <v>42</v>
      </c>
      <c r="C52" s="126"/>
      <c r="D52" s="126"/>
      <c r="E52" s="126"/>
      <c r="F52" s="161"/>
      <c r="G52" s="169">
        <v>20</v>
      </c>
      <c r="H52" s="167"/>
      <c r="I52" s="167"/>
      <c r="J52" s="168"/>
      <c r="K52" s="166">
        <v>20</v>
      </c>
      <c r="L52" s="167"/>
      <c r="M52" s="167"/>
      <c r="N52" s="168"/>
      <c r="O52" s="169">
        <v>20</v>
      </c>
      <c r="P52" s="167"/>
      <c r="Q52" s="167"/>
      <c r="R52" s="168"/>
      <c r="S52" s="166">
        <v>20</v>
      </c>
      <c r="T52" s="167"/>
      <c r="U52" s="167"/>
      <c r="V52" s="168"/>
      <c r="W52" s="153">
        <f t="shared" si="3"/>
        <v>80</v>
      </c>
      <c r="X52" s="154"/>
      <c r="Y52" s="154"/>
      <c r="Z52" s="155"/>
      <c r="AA52" s="228" t="s">
        <v>279</v>
      </c>
      <c r="AB52" s="229"/>
      <c r="AC52" s="229"/>
      <c r="AD52" s="229"/>
      <c r="AE52" s="229"/>
      <c r="AF52" s="229"/>
      <c r="AG52" s="95">
        <v>4</v>
      </c>
      <c r="AH52" s="95"/>
      <c r="AI52" s="95"/>
    </row>
    <row r="53" spans="1:35" ht="12.75">
      <c r="A53" s="187"/>
      <c r="B53" s="125" t="s">
        <v>43</v>
      </c>
      <c r="C53" s="126"/>
      <c r="D53" s="126"/>
      <c r="E53" s="126"/>
      <c r="F53" s="161"/>
      <c r="G53" s="165">
        <f>G51-G52</f>
        <v>0</v>
      </c>
      <c r="H53" s="163"/>
      <c r="I53" s="163"/>
      <c r="J53" s="164"/>
      <c r="K53" s="165">
        <f>K51-K52</f>
        <v>0</v>
      </c>
      <c r="L53" s="163"/>
      <c r="M53" s="163"/>
      <c r="N53" s="164"/>
      <c r="O53" s="165">
        <f>O51-O52</f>
        <v>0</v>
      </c>
      <c r="P53" s="163"/>
      <c r="Q53" s="163"/>
      <c r="R53" s="164"/>
      <c r="S53" s="165">
        <f>S51-S52</f>
        <v>0</v>
      </c>
      <c r="T53" s="163"/>
      <c r="U53" s="163"/>
      <c r="V53" s="164"/>
      <c r="W53" s="153">
        <f t="shared" si="3"/>
        <v>0</v>
      </c>
      <c r="X53" s="154"/>
      <c r="Y53" s="154"/>
      <c r="Z53" s="155"/>
      <c r="AA53" s="132">
        <f>W47*$L$2/100-AI58</f>
        <v>45.42631578947368</v>
      </c>
      <c r="AB53" s="233"/>
      <c r="AC53" s="233"/>
      <c r="AD53" s="233"/>
      <c r="AE53" s="233"/>
      <c r="AF53" s="233"/>
      <c r="AG53" s="233"/>
      <c r="AH53" s="233"/>
      <c r="AI53" s="233"/>
    </row>
    <row r="54" spans="1:38" ht="12.75">
      <c r="A54" s="187"/>
      <c r="B54" s="125" t="s">
        <v>30</v>
      </c>
      <c r="C54" s="126"/>
      <c r="D54" s="126"/>
      <c r="E54" s="126"/>
      <c r="F54" s="161"/>
      <c r="G54" s="156">
        <f>G47*$L$2/100-AA58</f>
        <v>20.189473684210526</v>
      </c>
      <c r="H54" s="157"/>
      <c r="I54" s="157"/>
      <c r="J54" s="158"/>
      <c r="K54" s="156">
        <f>K47*$L$2/100-AC58</f>
        <v>18.026315789473685</v>
      </c>
      <c r="L54" s="157"/>
      <c r="M54" s="157"/>
      <c r="N54" s="158"/>
      <c r="O54" s="156">
        <f>O47*$L$2/100-AE58</f>
        <v>7.210526315789474</v>
      </c>
      <c r="P54" s="157"/>
      <c r="Q54" s="157"/>
      <c r="R54" s="158"/>
      <c r="S54" s="156">
        <f>S47*$L$2/100-AG58</f>
        <v>0</v>
      </c>
      <c r="T54" s="157"/>
      <c r="U54" s="157"/>
      <c r="V54" s="158"/>
      <c r="W54" s="153">
        <f t="shared" si="3"/>
        <v>45.42631578947368</v>
      </c>
      <c r="X54" s="154"/>
      <c r="Y54" s="154"/>
      <c r="Z54" s="155"/>
      <c r="AA54" s="101">
        <f>IF(G47&lt;G46,$T$5*(G47-G46)*$L$3/100,$T$5*G47/100)</f>
        <v>0.56</v>
      </c>
      <c r="AB54" s="101"/>
      <c r="AC54" s="101">
        <f>IF(K47&lt;K46,$T$5*(K47-K46)*$L$3/100,$T$5*K47/100)</f>
        <v>0.5</v>
      </c>
      <c r="AD54" s="101"/>
      <c r="AE54" s="101">
        <f>IF(O47&lt;O46,$T$5*(O47-O46)*$L$3/100,$T$5*O47/100)</f>
        <v>0.2</v>
      </c>
      <c r="AF54" s="101"/>
      <c r="AG54" s="101">
        <f>IF(S47&lt;S46,$T$5*(S47-S46)*$L$3/100,$T$5*S47/100)</f>
        <v>0</v>
      </c>
      <c r="AH54" s="101"/>
      <c r="AI54" s="97">
        <f>SUM(AA54:AH54)</f>
        <v>1.26</v>
      </c>
      <c r="AJ54" s="98"/>
      <c r="AK54" s="98"/>
      <c r="AL54" s="2" t="s">
        <v>277</v>
      </c>
    </row>
    <row r="55" spans="1:38" ht="12.75">
      <c r="A55" s="187"/>
      <c r="B55" s="125" t="s">
        <v>283</v>
      </c>
      <c r="C55" s="126"/>
      <c r="D55" s="126"/>
      <c r="E55" s="126"/>
      <c r="F55" s="161"/>
      <c r="G55" s="156">
        <f>G54-G51-G50+$AI57</f>
        <v>-16.910526315789475</v>
      </c>
      <c r="H55" s="157"/>
      <c r="I55" s="157"/>
      <c r="J55" s="158"/>
      <c r="K55" s="156">
        <f>K54-K51-K50+$AI57</f>
        <v>-16.973684210526315</v>
      </c>
      <c r="L55" s="157"/>
      <c r="M55" s="157"/>
      <c r="N55" s="158"/>
      <c r="O55" s="156">
        <f>O54-O51-O50+$AI57</f>
        <v>-23.589473684210525</v>
      </c>
      <c r="P55" s="157"/>
      <c r="Q55" s="157"/>
      <c r="R55" s="158"/>
      <c r="S55" s="156">
        <f>S54-S51-S50+$AI57</f>
        <v>-28</v>
      </c>
      <c r="T55" s="157"/>
      <c r="U55" s="157"/>
      <c r="V55" s="158"/>
      <c r="W55" s="153">
        <f t="shared" si="3"/>
        <v>-85.47368421052632</v>
      </c>
      <c r="X55" s="154"/>
      <c r="Y55" s="154"/>
      <c r="Z55" s="159"/>
      <c r="AA55" s="101">
        <f>IF(G47&lt;G46,0,$T$3*G47/100)</f>
        <v>0</v>
      </c>
      <c r="AB55" s="101"/>
      <c r="AC55" s="101">
        <f>IF(K47&lt;K46,0,$T$3*K47/100)</f>
        <v>0</v>
      </c>
      <c r="AD55" s="101"/>
      <c r="AE55" s="101">
        <f>IF(O47&lt;O46,0,$T$3*O47/100)</f>
        <v>0</v>
      </c>
      <c r="AF55" s="101"/>
      <c r="AG55" s="101">
        <f>IF(S47&lt;S46,0,$T$3*S47/100)</f>
        <v>0</v>
      </c>
      <c r="AH55" s="101"/>
      <c r="AI55" s="97">
        <f>SUM(AA55:AH55)</f>
        <v>0</v>
      </c>
      <c r="AJ55" s="98"/>
      <c r="AK55" s="98"/>
      <c r="AL55" s="2" t="s">
        <v>248</v>
      </c>
    </row>
    <row r="56" spans="1:38" ht="12.75" customHeight="1">
      <c r="A56" s="187"/>
      <c r="B56" s="125" t="s">
        <v>45</v>
      </c>
      <c r="C56" s="126"/>
      <c r="D56" s="126"/>
      <c r="E56" s="126"/>
      <c r="F56" s="161"/>
      <c r="G56" s="156">
        <f>G55+G53</f>
        <v>-16.910526315789475</v>
      </c>
      <c r="H56" s="157"/>
      <c r="I56" s="157"/>
      <c r="J56" s="158"/>
      <c r="K56" s="156">
        <f>K55+K53</f>
        <v>-16.973684210526315</v>
      </c>
      <c r="L56" s="157"/>
      <c r="M56" s="157"/>
      <c r="N56" s="158"/>
      <c r="O56" s="156">
        <f>O55+O53</f>
        <v>-23.589473684210525</v>
      </c>
      <c r="P56" s="157"/>
      <c r="Q56" s="157"/>
      <c r="R56" s="158"/>
      <c r="S56" s="156">
        <f>S55+S53</f>
        <v>-28</v>
      </c>
      <c r="T56" s="157"/>
      <c r="U56" s="157"/>
      <c r="V56" s="158"/>
      <c r="W56" s="153">
        <f t="shared" si="3"/>
        <v>-85.47368421052632</v>
      </c>
      <c r="X56" s="154"/>
      <c r="Y56" s="154"/>
      <c r="Z56" s="155"/>
      <c r="AA56" s="101">
        <f>IF(G47&lt;G46,0,$T$4*G47/100)</f>
        <v>0</v>
      </c>
      <c r="AB56" s="101"/>
      <c r="AC56" s="101">
        <f>IF(K47&lt;K46,0,$T$4*K47/100)</f>
        <v>0</v>
      </c>
      <c r="AD56" s="101"/>
      <c r="AE56" s="101">
        <f>IF(O47&lt;O46,0,$T$4*O47/100)</f>
        <v>0</v>
      </c>
      <c r="AF56" s="101"/>
      <c r="AG56" s="101">
        <f>IF(S47&lt;S46,0,$T$4*S47/100)</f>
        <v>0</v>
      </c>
      <c r="AH56" s="101"/>
      <c r="AI56" s="97">
        <f>SUM(AA56:AH56)</f>
        <v>0</v>
      </c>
      <c r="AJ56" s="98"/>
      <c r="AK56" s="98"/>
      <c r="AL56" s="2" t="s">
        <v>281</v>
      </c>
    </row>
    <row r="57" spans="1:38" ht="12.75">
      <c r="A57" s="187"/>
      <c r="B57" s="194" t="s">
        <v>26</v>
      </c>
      <c r="C57" s="98"/>
      <c r="D57" s="98"/>
      <c r="E57" s="98"/>
      <c r="F57" s="195"/>
      <c r="G57" s="196">
        <f>$AG49/100*$AL$3</f>
        <v>0</v>
      </c>
      <c r="H57" s="197"/>
      <c r="I57" s="197"/>
      <c r="J57" s="198"/>
      <c r="K57" s="196">
        <f>$AG49/100*$AL$3</f>
        <v>0</v>
      </c>
      <c r="L57" s="197"/>
      <c r="M57" s="197"/>
      <c r="N57" s="198"/>
      <c r="O57" s="196">
        <f>$AG49/100*$AL$3</f>
        <v>0</v>
      </c>
      <c r="P57" s="197"/>
      <c r="Q57" s="197"/>
      <c r="R57" s="198"/>
      <c r="S57" s="196">
        <f>$AG49/100*$AL$3</f>
        <v>0</v>
      </c>
      <c r="T57" s="197"/>
      <c r="U57" s="197"/>
      <c r="V57" s="198"/>
      <c r="W57" s="153">
        <f t="shared" si="3"/>
        <v>0</v>
      </c>
      <c r="X57" s="154"/>
      <c r="Y57" s="154"/>
      <c r="Z57" s="155"/>
      <c r="AI57" s="224">
        <f>'ЦФУ Продажи'!P$59</f>
        <v>0</v>
      </c>
      <c r="AJ57" s="224"/>
      <c r="AK57" s="224"/>
      <c r="AL57" s="2" t="s">
        <v>280</v>
      </c>
    </row>
    <row r="58" spans="1:38" ht="13.5" thickBot="1">
      <c r="A58" s="187"/>
      <c r="B58" s="191" t="s">
        <v>28</v>
      </c>
      <c r="C58" s="192"/>
      <c r="D58" s="192"/>
      <c r="E58" s="192"/>
      <c r="F58" s="193"/>
      <c r="G58" s="149">
        <f>IF(G57&lt;0,G50,G50+G57)</f>
        <v>17.1</v>
      </c>
      <c r="H58" s="147"/>
      <c r="I58" s="147"/>
      <c r="J58" s="148"/>
      <c r="K58" s="146">
        <v>0</v>
      </c>
      <c r="L58" s="147"/>
      <c r="M58" s="147"/>
      <c r="N58" s="148"/>
      <c r="O58" s="149">
        <f>IF(O57&lt;0,O50,O50+O57)</f>
        <v>10.8</v>
      </c>
      <c r="P58" s="147"/>
      <c r="Q58" s="147"/>
      <c r="R58" s="148"/>
      <c r="S58" s="146">
        <f>IF(S57&lt;0,S50,S50+S57)</f>
        <v>8</v>
      </c>
      <c r="T58" s="147"/>
      <c r="U58" s="147"/>
      <c r="V58" s="148"/>
      <c r="W58" s="150">
        <f t="shared" si="3"/>
        <v>35.900000000000006</v>
      </c>
      <c r="X58" s="151"/>
      <c r="Y58" s="151"/>
      <c r="Z58" s="152"/>
      <c r="AA58" s="101">
        <f>IF($AI54&gt;0,IF(AA54&gt;=0,0,G47*($T$2+$T$3+$T$5)/100-AA54),IF(G47&lt;G46,G47*($T$2+$T$3+$T$5)/100,AA54))</f>
        <v>0</v>
      </c>
      <c r="AB58" s="101"/>
      <c r="AC58" s="101">
        <f>IF($AI54&gt;=0,IF(AC54&gt;=0,0,K47*($T$2+$T$3+$T$4+$T$5)/100-AC54),IF(AC54&lt;0,K47*($T$2+$T$3+$T$4+$T$5)/100,AC54))</f>
        <v>0</v>
      </c>
      <c r="AD58" s="101"/>
      <c r="AE58" s="101">
        <f>IF($AI54&gt;=0,IF(AE54&gt;=0,0,O47*($T$2+$T$3+$T$4+$T$5)/100-AE54),IF(AE54&lt;0,O47*($T$2+$T$3+$T$4+$T$5)/100,AE54))</f>
        <v>0</v>
      </c>
      <c r="AF58" s="101"/>
      <c r="AG58" s="101">
        <f>IF($AI54&gt;=0,IF(AG54&gt;=0,0,S47*($T$2+$T$3+$T$4+$T$5)/100-AG54),IF(AG54&lt;0,S47*($T$2+$T$3+$T$4+$T$5)/100,AG54))</f>
        <v>0</v>
      </c>
      <c r="AH58" s="101"/>
      <c r="AI58" s="97">
        <f>SUM(AA58:AH58)</f>
        <v>0</v>
      </c>
      <c r="AJ58" s="98"/>
      <c r="AK58" s="98"/>
      <c r="AL58" s="2" t="s">
        <v>218</v>
      </c>
    </row>
    <row r="59" spans="1:35" ht="12.75" customHeight="1">
      <c r="A59" s="188" t="s">
        <v>65</v>
      </c>
      <c r="B59" s="93" t="s">
        <v>23</v>
      </c>
      <c r="C59" s="94"/>
      <c r="D59" s="94"/>
      <c r="E59" s="94"/>
      <c r="F59" s="199"/>
      <c r="G59" s="185">
        <v>800</v>
      </c>
      <c r="H59" s="183"/>
      <c r="I59" s="183"/>
      <c r="J59" s="184"/>
      <c r="K59" s="182">
        <v>700</v>
      </c>
      <c r="L59" s="183"/>
      <c r="M59" s="183"/>
      <c r="N59" s="184"/>
      <c r="O59" s="185">
        <v>500</v>
      </c>
      <c r="P59" s="183"/>
      <c r="Q59" s="183"/>
      <c r="R59" s="184"/>
      <c r="S59" s="182">
        <v>200</v>
      </c>
      <c r="T59" s="183"/>
      <c r="U59" s="183"/>
      <c r="V59" s="184"/>
      <c r="W59" s="170">
        <f t="shared" si="3"/>
        <v>2200</v>
      </c>
      <c r="X59" s="171"/>
      <c r="Y59" s="171"/>
      <c r="Z59" s="172"/>
      <c r="AA59" s="234" t="s">
        <v>53</v>
      </c>
      <c r="AB59" s="235"/>
      <c r="AC59" s="235"/>
      <c r="AD59" s="235"/>
      <c r="AE59" s="235"/>
      <c r="AF59" s="236"/>
      <c r="AG59" s="173">
        <f>(W64+$N$2*AG65)/W59*100+$Q$2+$T$2+$T$3+$T$5</f>
        <v>6.590909090909091</v>
      </c>
      <c r="AH59" s="174"/>
      <c r="AI59" s="175"/>
    </row>
    <row r="60" spans="1:36" ht="12.75">
      <c r="A60" s="187"/>
      <c r="B60" s="125" t="s">
        <v>24</v>
      </c>
      <c r="C60" s="126"/>
      <c r="D60" s="126"/>
      <c r="E60" s="126"/>
      <c r="F60" s="161"/>
      <c r="G60" s="169">
        <v>800</v>
      </c>
      <c r="H60" s="167"/>
      <c r="I60" s="167"/>
      <c r="J60" s="168"/>
      <c r="K60" s="166">
        <v>700</v>
      </c>
      <c r="L60" s="167"/>
      <c r="M60" s="167"/>
      <c r="N60" s="168"/>
      <c r="O60" s="169">
        <v>500</v>
      </c>
      <c r="P60" s="167"/>
      <c r="Q60" s="167"/>
      <c r="R60" s="168"/>
      <c r="S60" s="166">
        <v>200</v>
      </c>
      <c r="T60" s="167"/>
      <c r="U60" s="167"/>
      <c r="V60" s="168"/>
      <c r="W60" s="153">
        <f t="shared" si="3"/>
        <v>2200</v>
      </c>
      <c r="X60" s="154"/>
      <c r="Y60" s="154"/>
      <c r="Z60" s="155"/>
      <c r="AA60" s="237" t="s">
        <v>54</v>
      </c>
      <c r="AB60" s="204"/>
      <c r="AC60" s="204"/>
      <c r="AD60" s="204"/>
      <c r="AE60" s="204"/>
      <c r="AF60" s="205"/>
      <c r="AG60" s="180">
        <f>(AG59-$L$2)*W59/100</f>
        <v>65.6842105263158</v>
      </c>
      <c r="AH60" s="180"/>
      <c r="AI60" s="181"/>
      <c r="AJ60" s="2" t="s">
        <v>284</v>
      </c>
    </row>
    <row r="61" spans="1:43" ht="12.75">
      <c r="A61" s="187"/>
      <c r="B61" s="125" t="s">
        <v>29</v>
      </c>
      <c r="C61" s="126"/>
      <c r="D61" s="126"/>
      <c r="E61" s="126"/>
      <c r="F61" s="161"/>
      <c r="G61" s="156">
        <f>IF(G59&lt;=G60,$N$2+G60/100*($Q$2+$T$2)+$AI68/$AG65+$AI70+IF(AI67&gt;0,AI67,0),$N$2+G60/100*$Q$2+$AI68/$AG65+$AI70+IF(AI67&gt;0,AI67,0))</f>
        <v>21.4</v>
      </c>
      <c r="H61" s="157"/>
      <c r="I61" s="157"/>
      <c r="J61" s="158"/>
      <c r="K61" s="156">
        <f>IF(K59&lt;=K60,$N$2+K60/100*($Q$2+$T$2)+$AI68/$AG65+$AI70+IF(AM67&gt;0,AM67,0),$N$2+K60/100*$Q$2+$AI68/$AG65+$AI70+IF(AM67&gt;0,AM67,0))</f>
        <v>17.799999999999997</v>
      </c>
      <c r="L61" s="157"/>
      <c r="M61" s="157"/>
      <c r="N61" s="158"/>
      <c r="O61" s="156">
        <f>IF(O59&lt;=O60,$N$2+O60/100*($Q$2+$T$2)+$AI68/$AG65+$AI70+IF(AQ67&gt;0,AQ67,0),$N$2+O60/100*$Q$2+$AI68/$AG65+$AI70+IF(AQ67&gt;0,AQ67,0))</f>
        <v>15</v>
      </c>
      <c r="P61" s="157"/>
      <c r="Q61" s="157"/>
      <c r="R61" s="158"/>
      <c r="S61" s="156">
        <f>IF(S59&lt;=S60,$N$2+S60/100*($Q$2+$T$2)+$AI68/$AG65+$AI70+IF(AU67&gt;0,AU67,0),$N$2+S60/100*$Q$2+$AI68/$AG65+$AI70+IF(AU67&gt;0,AU67,0))</f>
        <v>10.8</v>
      </c>
      <c r="T61" s="157"/>
      <c r="U61" s="157"/>
      <c r="V61" s="158"/>
      <c r="W61" s="153">
        <f t="shared" si="3"/>
        <v>65</v>
      </c>
      <c r="X61" s="154"/>
      <c r="Y61" s="154"/>
      <c r="Z61" s="155"/>
      <c r="AA61" s="205" t="s">
        <v>55</v>
      </c>
      <c r="AB61" s="126"/>
      <c r="AC61" s="126"/>
      <c r="AD61" s="126"/>
      <c r="AE61" s="126"/>
      <c r="AF61" s="126"/>
      <c r="AG61" s="122">
        <f>SUM(AJ62:AQ62)+AG60</f>
        <v>65.6842105263158</v>
      </c>
      <c r="AH61" s="123"/>
      <c r="AI61" s="124"/>
      <c r="AJ61" s="225">
        <f>$N$2+G59*($Q$2+$T$2+$T$3/$AG65)/100+$T$5*$W59/100</f>
        <v>21.4</v>
      </c>
      <c r="AK61" s="226"/>
      <c r="AL61" s="225">
        <f>$N$2+K59*($Q$2+$T$2+$T$3/$AG65)/100</f>
        <v>17.799999999999997</v>
      </c>
      <c r="AM61" s="226"/>
      <c r="AN61" s="225">
        <f>$N$2+O59*($Q$2+$T$2+$T$3/$AG65)/100</f>
        <v>15</v>
      </c>
      <c r="AO61" s="226"/>
      <c r="AP61" s="225">
        <f>$N$2+S59*($Q$2+$T$2+$T$3/$AG65)/100</f>
        <v>10.8</v>
      </c>
      <c r="AQ61" s="226"/>
    </row>
    <row r="62" spans="1:43" ht="12.75">
      <c r="A62" s="187"/>
      <c r="B62" s="125" t="s">
        <v>10</v>
      </c>
      <c r="C62" s="126"/>
      <c r="D62" s="126"/>
      <c r="E62" s="126"/>
      <c r="F62" s="161"/>
      <c r="G62" s="169">
        <v>8</v>
      </c>
      <c r="H62" s="167"/>
      <c r="I62" s="167"/>
      <c r="J62" s="168"/>
      <c r="K62" s="169">
        <v>8</v>
      </c>
      <c r="L62" s="167"/>
      <c r="M62" s="167"/>
      <c r="N62" s="168"/>
      <c r="O62" s="169">
        <v>8</v>
      </c>
      <c r="P62" s="167"/>
      <c r="Q62" s="167"/>
      <c r="R62" s="168"/>
      <c r="S62" s="169">
        <v>8</v>
      </c>
      <c r="T62" s="167"/>
      <c r="U62" s="167"/>
      <c r="V62" s="168"/>
      <c r="W62" s="153">
        <f t="shared" si="3"/>
        <v>32</v>
      </c>
      <c r="X62" s="154"/>
      <c r="Y62" s="154"/>
      <c r="Z62" s="155"/>
      <c r="AA62" s="205" t="s">
        <v>56</v>
      </c>
      <c r="AB62" s="126"/>
      <c r="AC62" s="126"/>
      <c r="AD62" s="126"/>
      <c r="AE62" s="126"/>
      <c r="AF62" s="126"/>
      <c r="AG62" s="134">
        <f>W69+AG61</f>
        <v>0</v>
      </c>
      <c r="AH62" s="134"/>
      <c r="AI62" s="135"/>
      <c r="AJ62" s="225">
        <f>IF(AJ61&gt;G62,0,G62-AJ61)</f>
        <v>0</v>
      </c>
      <c r="AK62" s="226"/>
      <c r="AL62" s="225">
        <f>IF(AL61&gt;K62,0,K62-AL61)</f>
        <v>0</v>
      </c>
      <c r="AM62" s="226"/>
      <c r="AN62" s="225">
        <f>IF(AN61&gt;O62,0,O62-AN61)</f>
        <v>0</v>
      </c>
      <c r="AO62" s="226"/>
      <c r="AP62" s="225">
        <f>IF(AP61&gt;S62,0,S62-AP61)</f>
        <v>0</v>
      </c>
      <c r="AQ62" s="226"/>
    </row>
    <row r="63" spans="1:35" ht="13.5" thickBot="1">
      <c r="A63" s="187"/>
      <c r="B63" s="125" t="s">
        <v>58</v>
      </c>
      <c r="C63" s="126"/>
      <c r="D63" s="126"/>
      <c r="E63" s="126"/>
      <c r="F63" s="161"/>
      <c r="G63" s="156">
        <f>IF(G61&lt;G62,G62,G61)</f>
        <v>21.4</v>
      </c>
      <c r="H63" s="157"/>
      <c r="I63" s="157"/>
      <c r="J63" s="158"/>
      <c r="K63" s="156">
        <f>IF(K61&lt;K62,K62,K61)</f>
        <v>17.799999999999997</v>
      </c>
      <c r="L63" s="157"/>
      <c r="M63" s="157"/>
      <c r="N63" s="158"/>
      <c r="O63" s="156">
        <f>IF(O61&lt;O62,O62,O61)</f>
        <v>15</v>
      </c>
      <c r="P63" s="157"/>
      <c r="Q63" s="157"/>
      <c r="R63" s="158"/>
      <c r="S63" s="156">
        <f>IF(S61&lt;S62,S62,S61)</f>
        <v>10.8</v>
      </c>
      <c r="T63" s="157"/>
      <c r="U63" s="157"/>
      <c r="V63" s="158"/>
      <c r="W63" s="153">
        <f t="shared" si="3"/>
        <v>65</v>
      </c>
      <c r="X63" s="154"/>
      <c r="Y63" s="154"/>
      <c r="Z63" s="155"/>
      <c r="AA63" s="232" t="s">
        <v>57</v>
      </c>
      <c r="AB63" s="90"/>
      <c r="AC63" s="90"/>
      <c r="AD63" s="90"/>
      <c r="AE63" s="90"/>
      <c r="AF63" s="90"/>
      <c r="AG63" s="91">
        <f>-AG61+AG62-W70</f>
        <v>-65.6842105263158</v>
      </c>
      <c r="AH63" s="91"/>
      <c r="AI63" s="85"/>
    </row>
    <row r="64" spans="1:35" ht="13.5" thickBot="1">
      <c r="A64" s="187"/>
      <c r="B64" s="125" t="s">
        <v>41</v>
      </c>
      <c r="C64" s="126"/>
      <c r="D64" s="126"/>
      <c r="E64" s="126"/>
      <c r="F64" s="161"/>
      <c r="G64" s="156">
        <v>20</v>
      </c>
      <c r="H64" s="157"/>
      <c r="I64" s="157"/>
      <c r="J64" s="158"/>
      <c r="K64" s="156">
        <v>20</v>
      </c>
      <c r="L64" s="157"/>
      <c r="M64" s="157"/>
      <c r="N64" s="158"/>
      <c r="O64" s="156">
        <v>20</v>
      </c>
      <c r="P64" s="157"/>
      <c r="Q64" s="157"/>
      <c r="R64" s="158"/>
      <c r="S64" s="156">
        <v>20</v>
      </c>
      <c r="T64" s="157"/>
      <c r="U64" s="157"/>
      <c r="V64" s="158"/>
      <c r="W64" s="153">
        <f t="shared" si="3"/>
        <v>80</v>
      </c>
      <c r="X64" s="154"/>
      <c r="Y64" s="154"/>
      <c r="Z64" s="155"/>
      <c r="AA64" s="230" t="s">
        <v>59</v>
      </c>
      <c r="AB64" s="231"/>
      <c r="AC64" s="231"/>
      <c r="AD64" s="231"/>
      <c r="AE64" s="231"/>
      <c r="AF64" s="231"/>
      <c r="AG64" s="88">
        <f>AG61+AG63</f>
        <v>0</v>
      </c>
      <c r="AH64" s="89"/>
      <c r="AI64" s="84"/>
    </row>
    <row r="65" spans="1:35" ht="12.75">
      <c r="A65" s="187"/>
      <c r="B65" s="125" t="s">
        <v>42</v>
      </c>
      <c r="C65" s="126"/>
      <c r="D65" s="126"/>
      <c r="E65" s="126"/>
      <c r="F65" s="161"/>
      <c r="G65" s="169">
        <v>20</v>
      </c>
      <c r="H65" s="167"/>
      <c r="I65" s="167"/>
      <c r="J65" s="168"/>
      <c r="K65" s="169">
        <v>20</v>
      </c>
      <c r="L65" s="167"/>
      <c r="M65" s="167"/>
      <c r="N65" s="168"/>
      <c r="O65" s="169">
        <v>20</v>
      </c>
      <c r="P65" s="167"/>
      <c r="Q65" s="167"/>
      <c r="R65" s="168"/>
      <c r="S65" s="169">
        <v>20</v>
      </c>
      <c r="T65" s="167"/>
      <c r="U65" s="167"/>
      <c r="V65" s="168"/>
      <c r="W65" s="153">
        <f t="shared" si="3"/>
        <v>80</v>
      </c>
      <c r="X65" s="154"/>
      <c r="Y65" s="154"/>
      <c r="Z65" s="155"/>
      <c r="AA65" s="228" t="s">
        <v>279</v>
      </c>
      <c r="AB65" s="229"/>
      <c r="AC65" s="229"/>
      <c r="AD65" s="229"/>
      <c r="AE65" s="229"/>
      <c r="AF65" s="229"/>
      <c r="AG65" s="95">
        <v>4</v>
      </c>
      <c r="AH65" s="95"/>
      <c r="AI65" s="95"/>
    </row>
    <row r="66" spans="1:35" ht="12.75">
      <c r="A66" s="187"/>
      <c r="B66" s="125" t="s">
        <v>43</v>
      </c>
      <c r="C66" s="126"/>
      <c r="D66" s="126"/>
      <c r="E66" s="126"/>
      <c r="F66" s="161"/>
      <c r="G66" s="165">
        <f>G64-G65</f>
        <v>0</v>
      </c>
      <c r="H66" s="163"/>
      <c r="I66" s="163"/>
      <c r="J66" s="164"/>
      <c r="K66" s="165">
        <f>K64-K65</f>
        <v>0</v>
      </c>
      <c r="L66" s="163"/>
      <c r="M66" s="163"/>
      <c r="N66" s="164"/>
      <c r="O66" s="165">
        <f>O64-O65</f>
        <v>0</v>
      </c>
      <c r="P66" s="163"/>
      <c r="Q66" s="163"/>
      <c r="R66" s="164"/>
      <c r="S66" s="165">
        <f>S64-S65</f>
        <v>0</v>
      </c>
      <c r="T66" s="163"/>
      <c r="U66" s="163"/>
      <c r="V66" s="164"/>
      <c r="W66" s="153">
        <f t="shared" si="3"/>
        <v>0</v>
      </c>
      <c r="X66" s="154"/>
      <c r="Y66" s="154"/>
      <c r="Z66" s="155"/>
      <c r="AA66" s="132">
        <f>W60*$L$2/100-AI71</f>
        <v>79.3157894736842</v>
      </c>
      <c r="AB66" s="233"/>
      <c r="AC66" s="233"/>
      <c r="AD66" s="233"/>
      <c r="AE66" s="233"/>
      <c r="AF66" s="233"/>
      <c r="AG66" s="233"/>
      <c r="AH66" s="233"/>
      <c r="AI66" s="233"/>
    </row>
    <row r="67" spans="1:38" ht="12.75">
      <c r="A67" s="187"/>
      <c r="B67" s="125" t="s">
        <v>30</v>
      </c>
      <c r="C67" s="126"/>
      <c r="D67" s="126"/>
      <c r="E67" s="126"/>
      <c r="F67" s="161"/>
      <c r="G67" s="156">
        <f>G60*$L$2/100-AA71</f>
        <v>28.842105263157897</v>
      </c>
      <c r="H67" s="157"/>
      <c r="I67" s="157"/>
      <c r="J67" s="158"/>
      <c r="K67" s="156">
        <f>K60*$L$2/100-AE71</f>
        <v>25.236842105263158</v>
      </c>
      <c r="L67" s="157"/>
      <c r="M67" s="157"/>
      <c r="N67" s="158"/>
      <c r="O67" s="156">
        <f>O60*$L$2/100-AI71</f>
        <v>18.026315789473685</v>
      </c>
      <c r="P67" s="157"/>
      <c r="Q67" s="157"/>
      <c r="R67" s="158"/>
      <c r="S67" s="156">
        <f>S60*$L$2/100-AM71</f>
        <v>7.210526315789474</v>
      </c>
      <c r="T67" s="157"/>
      <c r="U67" s="157"/>
      <c r="V67" s="158"/>
      <c r="W67" s="153">
        <f t="shared" si="3"/>
        <v>79.31578947368422</v>
      </c>
      <c r="X67" s="154"/>
      <c r="Y67" s="154"/>
      <c r="Z67" s="155"/>
      <c r="AA67" s="101">
        <f>IF(G60&lt;G59,$T$5*(G60-G59)*$L$3/100,$T$5*G60/100)</f>
        <v>0.8</v>
      </c>
      <c r="AB67" s="101"/>
      <c r="AC67" s="101">
        <f>IF(K60&lt;K59,$T$5*(K60-K59)*$L$3/100,$T$5*K60/100)</f>
        <v>0.7</v>
      </c>
      <c r="AD67" s="101"/>
      <c r="AE67" s="101">
        <f>IF(O60&lt;O59,$T$5*(O60-O59)*$L$3/100,$T$5*O60/100)</f>
        <v>0.5</v>
      </c>
      <c r="AF67" s="101"/>
      <c r="AG67" s="101">
        <f>IF(S60&lt;S59,$T$5*(S60-S59)*$L$3/100,$T$5*S60/100)</f>
        <v>0.2</v>
      </c>
      <c r="AH67" s="101"/>
      <c r="AI67" s="97">
        <f>SUM(AA67:AH67)</f>
        <v>2.2</v>
      </c>
      <c r="AJ67" s="98"/>
      <c r="AK67" s="98"/>
      <c r="AL67" s="2" t="s">
        <v>277</v>
      </c>
    </row>
    <row r="68" spans="1:38" ht="12.75">
      <c r="A68" s="187"/>
      <c r="B68" s="125" t="s">
        <v>283</v>
      </c>
      <c r="C68" s="126"/>
      <c r="D68" s="126"/>
      <c r="E68" s="126"/>
      <c r="F68" s="161"/>
      <c r="G68" s="156">
        <f>G67-G64-G63+$AI70</f>
        <v>-12.557894736842101</v>
      </c>
      <c r="H68" s="157"/>
      <c r="I68" s="157"/>
      <c r="J68" s="158"/>
      <c r="K68" s="156">
        <f>K67-K64-K63+$AI70</f>
        <v>-12.56315789473684</v>
      </c>
      <c r="L68" s="157"/>
      <c r="M68" s="157"/>
      <c r="N68" s="158"/>
      <c r="O68" s="156">
        <f>O67-O64-O63+$AI70</f>
        <v>-16.973684210526315</v>
      </c>
      <c r="P68" s="157"/>
      <c r="Q68" s="157"/>
      <c r="R68" s="158"/>
      <c r="S68" s="156">
        <f>S67-S64-S63+$AI70</f>
        <v>-23.589473684210525</v>
      </c>
      <c r="T68" s="157"/>
      <c r="U68" s="157"/>
      <c r="V68" s="158"/>
      <c r="W68" s="153">
        <f t="shared" si="3"/>
        <v>-65.68421052631578</v>
      </c>
      <c r="X68" s="154"/>
      <c r="Y68" s="154"/>
      <c r="Z68" s="159"/>
      <c r="AA68" s="101">
        <f>IF(G60&lt;G59,0,$T$3*G60/100)</f>
        <v>0</v>
      </c>
      <c r="AB68" s="101"/>
      <c r="AC68" s="101">
        <f>IF(K60&lt;K59,0,$T$3*K60/100)</f>
        <v>0</v>
      </c>
      <c r="AD68" s="101"/>
      <c r="AE68" s="101">
        <f>IF(O60&lt;O59,0,$T$3*O60/100)</f>
        <v>0</v>
      </c>
      <c r="AF68" s="101"/>
      <c r="AG68" s="101">
        <f>IF(S60&lt;S59,0,$T$3*S60/100)</f>
        <v>0</v>
      </c>
      <c r="AH68" s="101"/>
      <c r="AI68" s="97">
        <f>SUM(AA68:AH68)</f>
        <v>0</v>
      </c>
      <c r="AJ68" s="98"/>
      <c r="AK68" s="98"/>
      <c r="AL68" s="2" t="s">
        <v>248</v>
      </c>
    </row>
    <row r="69" spans="1:38" ht="12.75">
      <c r="A69" s="187"/>
      <c r="B69" s="125" t="s">
        <v>45</v>
      </c>
      <c r="C69" s="126"/>
      <c r="D69" s="126"/>
      <c r="E69" s="126"/>
      <c r="F69" s="161"/>
      <c r="G69" s="156">
        <f>G68+G66</f>
        <v>-12.557894736842101</v>
      </c>
      <c r="H69" s="157"/>
      <c r="I69" s="157"/>
      <c r="J69" s="158"/>
      <c r="K69" s="156">
        <f>K68+K66</f>
        <v>-12.56315789473684</v>
      </c>
      <c r="L69" s="157"/>
      <c r="M69" s="157"/>
      <c r="N69" s="158"/>
      <c r="O69" s="156">
        <f>O68+O66</f>
        <v>-16.973684210526315</v>
      </c>
      <c r="P69" s="157"/>
      <c r="Q69" s="157"/>
      <c r="R69" s="158"/>
      <c r="S69" s="156">
        <f>S68+S66</f>
        <v>-23.589473684210525</v>
      </c>
      <c r="T69" s="157"/>
      <c r="U69" s="157"/>
      <c r="V69" s="158"/>
      <c r="W69" s="153">
        <f t="shared" si="3"/>
        <v>-65.68421052631578</v>
      </c>
      <c r="X69" s="154"/>
      <c r="Y69" s="154"/>
      <c r="Z69" s="155"/>
      <c r="AA69" s="101">
        <f>IF(G60&lt;G59,0,$T$4*G60/100)</f>
        <v>0</v>
      </c>
      <c r="AB69" s="101"/>
      <c r="AC69" s="101">
        <f>IF(K60&lt;K59,0,$T$4*K60/100)</f>
        <v>0</v>
      </c>
      <c r="AD69" s="101"/>
      <c r="AE69" s="101">
        <f>IF(O60&lt;O59,0,$T$4*O60/100)</f>
        <v>0</v>
      </c>
      <c r="AF69" s="101"/>
      <c r="AG69" s="101">
        <f>IF(S60&lt;S59,0,$T$4*S60/100)</f>
        <v>0</v>
      </c>
      <c r="AH69" s="101"/>
      <c r="AI69" s="97">
        <f>SUM(AA69:AH69)</f>
        <v>0</v>
      </c>
      <c r="AJ69" s="98"/>
      <c r="AK69" s="98"/>
      <c r="AL69" s="2" t="s">
        <v>281</v>
      </c>
    </row>
    <row r="70" spans="1:38" ht="12.75">
      <c r="A70" s="187"/>
      <c r="B70" s="194" t="s">
        <v>26</v>
      </c>
      <c r="C70" s="98"/>
      <c r="D70" s="98"/>
      <c r="E70" s="98"/>
      <c r="F70" s="195"/>
      <c r="G70" s="196">
        <f>$AG62/100*$AL$3</f>
        <v>0</v>
      </c>
      <c r="H70" s="197"/>
      <c r="I70" s="197"/>
      <c r="J70" s="198"/>
      <c r="K70" s="196">
        <f>$AG62/100*$AL$3</f>
        <v>0</v>
      </c>
      <c r="L70" s="197"/>
      <c r="M70" s="197"/>
      <c r="N70" s="198"/>
      <c r="O70" s="196">
        <f>$AG62/100*$AL$3</f>
        <v>0</v>
      </c>
      <c r="P70" s="197"/>
      <c r="Q70" s="197"/>
      <c r="R70" s="198"/>
      <c r="S70" s="196">
        <f>$AG62/100*$AL$3</f>
        <v>0</v>
      </c>
      <c r="T70" s="197"/>
      <c r="U70" s="197"/>
      <c r="V70" s="198"/>
      <c r="W70" s="153">
        <f t="shared" si="3"/>
        <v>0</v>
      </c>
      <c r="X70" s="154"/>
      <c r="Y70" s="154"/>
      <c r="Z70" s="155"/>
      <c r="AI70" s="224">
        <f>'ЦФУ Продажи'!S$59</f>
        <v>0</v>
      </c>
      <c r="AJ70" s="224"/>
      <c r="AK70" s="224"/>
      <c r="AL70" s="2" t="s">
        <v>280</v>
      </c>
    </row>
    <row r="71" spans="1:38" ht="13.5" thickBot="1">
      <c r="A71" s="189"/>
      <c r="B71" s="191" t="s">
        <v>28</v>
      </c>
      <c r="C71" s="192"/>
      <c r="D71" s="192"/>
      <c r="E71" s="192"/>
      <c r="F71" s="193"/>
      <c r="G71" s="149">
        <f>IF(G70&lt;0,G63,G63+G70)</f>
        <v>21.4</v>
      </c>
      <c r="H71" s="147"/>
      <c r="I71" s="147"/>
      <c r="J71" s="148"/>
      <c r="K71" s="149">
        <f>IF(K70&lt;0,K63,K63+K70)</f>
        <v>17.799999999999997</v>
      </c>
      <c r="L71" s="147"/>
      <c r="M71" s="147"/>
      <c r="N71" s="148"/>
      <c r="O71" s="149">
        <f>IF(O70&lt;0,O63,O63+O70)</f>
        <v>15</v>
      </c>
      <c r="P71" s="147"/>
      <c r="Q71" s="147"/>
      <c r="R71" s="148"/>
      <c r="S71" s="149">
        <f>IF(S70&lt;0,S63,S63+S70)</f>
        <v>10.8</v>
      </c>
      <c r="T71" s="147"/>
      <c r="U71" s="147"/>
      <c r="V71" s="148"/>
      <c r="W71" s="150">
        <f t="shared" si="3"/>
        <v>65</v>
      </c>
      <c r="X71" s="151"/>
      <c r="Y71" s="151"/>
      <c r="Z71" s="152"/>
      <c r="AA71" s="101">
        <f>IF($AI67&gt;0,IF(AA67&gt;=0,0,G60*($T$2+$T$3+$T$5)/100-AA67),IF(G60&lt;G59,G60*($T$2+$T$3+$T$5)/100,AA67))</f>
        <v>0</v>
      </c>
      <c r="AB71" s="101"/>
      <c r="AC71" s="101">
        <f>IF($AI67&gt;=0,IF(AC67&gt;=0,0,K60*($T$2+$T$3+$T$4+$T$5)/100-AC67),IF(AC67&lt;0,K60*($T$2+$T$3+$T$4+$T$5)/100,AC67))</f>
        <v>0</v>
      </c>
      <c r="AD71" s="101"/>
      <c r="AE71" s="101">
        <f>IF($AI67&gt;=0,IF(AE67&gt;=0,0,O60*($T$2+$T$3+$T$4+$T$5)/100-AE67),IF(AE67&lt;0,O60*($T$2+$T$3+$T$4+$T$5)/100,AE67))</f>
        <v>0</v>
      </c>
      <c r="AF71" s="101"/>
      <c r="AG71" s="101">
        <f>IF($AI67&gt;=0,IF(AG67&gt;=0,0,S60*($T$2+$T$3+$T$4+$T$5)/100-AG67),IF(AG67&lt;0,S60*($T$2+$T$3+$T$4+$T$5)/100,AG67))</f>
        <v>0</v>
      </c>
      <c r="AH71" s="101"/>
      <c r="AI71" s="97">
        <f>SUM(AA71:AH71)</f>
        <v>0</v>
      </c>
      <c r="AJ71" s="98"/>
      <c r="AK71" s="98"/>
      <c r="AL71" s="2" t="s">
        <v>218</v>
      </c>
    </row>
    <row r="72" spans="1:35" ht="12.75" customHeight="1">
      <c r="A72" s="140" t="s">
        <v>66</v>
      </c>
      <c r="B72" s="93" t="s">
        <v>23</v>
      </c>
      <c r="C72" s="94"/>
      <c r="D72" s="94"/>
      <c r="E72" s="94"/>
      <c r="F72" s="199"/>
      <c r="G72" s="185">
        <v>960</v>
      </c>
      <c r="H72" s="183"/>
      <c r="I72" s="183"/>
      <c r="J72" s="184"/>
      <c r="K72" s="182">
        <v>1000</v>
      </c>
      <c r="L72" s="183"/>
      <c r="M72" s="183"/>
      <c r="N72" s="184"/>
      <c r="O72" s="185">
        <v>700</v>
      </c>
      <c r="P72" s="183"/>
      <c r="Q72" s="183"/>
      <c r="R72" s="184"/>
      <c r="S72" s="182">
        <v>500</v>
      </c>
      <c r="T72" s="183"/>
      <c r="U72" s="183"/>
      <c r="V72" s="184"/>
      <c r="W72" s="170">
        <f aca="true" t="shared" si="4" ref="W72:W110">G72+K72+O72+S72</f>
        <v>3160</v>
      </c>
      <c r="X72" s="171"/>
      <c r="Y72" s="171"/>
      <c r="Z72" s="172"/>
      <c r="AA72" s="93" t="s">
        <v>53</v>
      </c>
      <c r="AB72" s="94"/>
      <c r="AC72" s="94"/>
      <c r="AD72" s="94"/>
      <c r="AE72" s="94"/>
      <c r="AF72" s="94"/>
      <c r="AG72" s="173">
        <f>(W77+$N$2*AG78)/W72*100+$Q$2+$T$2+$T$3+$T$5</f>
        <v>5.044303797468355</v>
      </c>
      <c r="AH72" s="174"/>
      <c r="AI72" s="175"/>
    </row>
    <row r="73" spans="1:36" ht="12.75">
      <c r="A73" s="141"/>
      <c r="B73" s="125" t="s">
        <v>24</v>
      </c>
      <c r="C73" s="126"/>
      <c r="D73" s="126"/>
      <c r="E73" s="126"/>
      <c r="F73" s="161"/>
      <c r="G73" s="169">
        <v>960</v>
      </c>
      <c r="H73" s="167"/>
      <c r="I73" s="167"/>
      <c r="J73" s="168"/>
      <c r="K73" s="166">
        <v>1000</v>
      </c>
      <c r="L73" s="167"/>
      <c r="M73" s="167"/>
      <c r="N73" s="168"/>
      <c r="O73" s="169">
        <v>700</v>
      </c>
      <c r="P73" s="167"/>
      <c r="Q73" s="167"/>
      <c r="R73" s="168"/>
      <c r="S73" s="166">
        <v>500</v>
      </c>
      <c r="T73" s="167"/>
      <c r="U73" s="167"/>
      <c r="V73" s="168"/>
      <c r="W73" s="153">
        <f t="shared" si="4"/>
        <v>3160</v>
      </c>
      <c r="X73" s="154"/>
      <c r="Y73" s="154"/>
      <c r="Z73" s="155"/>
      <c r="AA73" s="125" t="s">
        <v>54</v>
      </c>
      <c r="AB73" s="126"/>
      <c r="AC73" s="126"/>
      <c r="AD73" s="126"/>
      <c r="AE73" s="126"/>
      <c r="AF73" s="126"/>
      <c r="AG73" s="180">
        <f>(AG72-$L$2)*W72/100</f>
        <v>45.47368421052633</v>
      </c>
      <c r="AH73" s="180"/>
      <c r="AI73" s="181"/>
      <c r="AJ73" s="2" t="s">
        <v>284</v>
      </c>
    </row>
    <row r="74" spans="1:43" ht="12.75">
      <c r="A74" s="141"/>
      <c r="B74" s="125" t="s">
        <v>29</v>
      </c>
      <c r="C74" s="126"/>
      <c r="D74" s="126"/>
      <c r="E74" s="126"/>
      <c r="F74" s="161"/>
      <c r="G74" s="156">
        <f>IF(G72&lt;=G73,$N$2+G73/100*($Q$2+$T$2)+$AI81/$AG78+$AI83+IF(AI80&gt;0,AI80,0),$N$2+G73/100*$Q$2+$AI81/$AG78+$AI83+IF(AI80&gt;0,AI80,0))</f>
        <v>24.599999999999998</v>
      </c>
      <c r="H74" s="157"/>
      <c r="I74" s="157"/>
      <c r="J74" s="158"/>
      <c r="K74" s="156">
        <f>IF(K72&lt;=K73,$N$2+K73/100*($Q$2+$T$2)+$AI81/$AG78+$AI83,$N$2+K73/100*$Q$2+$AI81/$AG78+$AI83)</f>
        <v>22</v>
      </c>
      <c r="L74" s="157"/>
      <c r="M74" s="157"/>
      <c r="N74" s="158"/>
      <c r="O74" s="156">
        <f>IF(O72&lt;=O73,$N$2+O73/100*($Q$2+$T$2)+$AI81/$AG78+$AI83,$N$2+O73/100*$Q$2+$AI81/$AG78+$AI83)</f>
        <v>17.799999999999997</v>
      </c>
      <c r="P74" s="157"/>
      <c r="Q74" s="157"/>
      <c r="R74" s="158"/>
      <c r="S74" s="156">
        <f>IF(S72&lt;=S73,$N$2+S73/100*($Q$2+$T$2)+$AI81/$AG78+$AI83,$N$2+S73/100*$Q$2+$AI81/$AG78+$AI83)</f>
        <v>15</v>
      </c>
      <c r="T74" s="157"/>
      <c r="U74" s="157"/>
      <c r="V74" s="158"/>
      <c r="W74" s="153">
        <f t="shared" si="4"/>
        <v>79.39999999999999</v>
      </c>
      <c r="X74" s="154"/>
      <c r="Y74" s="154"/>
      <c r="Z74" s="155"/>
      <c r="AA74" s="205" t="s">
        <v>55</v>
      </c>
      <c r="AB74" s="126"/>
      <c r="AC74" s="126"/>
      <c r="AD74" s="126"/>
      <c r="AE74" s="126"/>
      <c r="AF74" s="126"/>
      <c r="AG74" s="122">
        <f>SUM(AJ75:AQ75)+AG73</f>
        <v>45.47368421052633</v>
      </c>
      <c r="AH74" s="123"/>
      <c r="AI74" s="124"/>
      <c r="AJ74" s="225">
        <f>$N$2+G72*($Q$2+$T$2+$T$3/$AG78)/100+$T$5*$W72/100</f>
        <v>24.599999999999998</v>
      </c>
      <c r="AK74" s="226"/>
      <c r="AL74" s="225">
        <f>$N$2+K72*($Q$2+$T$2+$T$3/$AG78)/100</f>
        <v>22</v>
      </c>
      <c r="AM74" s="226"/>
      <c r="AN74" s="225">
        <f>$N$2+O72*($Q$2+$T$2+$T$3/$AG78)/100</f>
        <v>17.799999999999997</v>
      </c>
      <c r="AO74" s="226"/>
      <c r="AP74" s="225">
        <f>$N$2+S72*($Q$2+$T$2+$T$3/$AG78)/100</f>
        <v>15</v>
      </c>
      <c r="AQ74" s="226"/>
    </row>
    <row r="75" spans="1:43" ht="12.75">
      <c r="A75" s="141"/>
      <c r="B75" s="125" t="s">
        <v>10</v>
      </c>
      <c r="C75" s="126"/>
      <c r="D75" s="126"/>
      <c r="E75" s="126"/>
      <c r="F75" s="161"/>
      <c r="G75" s="169">
        <v>8</v>
      </c>
      <c r="H75" s="167"/>
      <c r="I75" s="167"/>
      <c r="J75" s="168"/>
      <c r="K75" s="166">
        <v>8</v>
      </c>
      <c r="L75" s="167"/>
      <c r="M75" s="167"/>
      <c r="N75" s="168"/>
      <c r="O75" s="169">
        <v>8</v>
      </c>
      <c r="P75" s="167"/>
      <c r="Q75" s="167"/>
      <c r="R75" s="168"/>
      <c r="S75" s="166">
        <v>8</v>
      </c>
      <c r="T75" s="167"/>
      <c r="U75" s="167"/>
      <c r="V75" s="168"/>
      <c r="W75" s="153">
        <f t="shared" si="4"/>
        <v>32</v>
      </c>
      <c r="X75" s="154"/>
      <c r="Y75" s="154"/>
      <c r="Z75" s="155"/>
      <c r="AA75" s="205" t="s">
        <v>56</v>
      </c>
      <c r="AB75" s="126"/>
      <c r="AC75" s="126"/>
      <c r="AD75" s="126"/>
      <c r="AE75" s="126"/>
      <c r="AF75" s="126"/>
      <c r="AG75" s="134">
        <f>W82+AG74</f>
        <v>0</v>
      </c>
      <c r="AH75" s="134"/>
      <c r="AI75" s="135"/>
      <c r="AJ75" s="225">
        <f>IF(AJ74&gt;G75,0,G75-AJ74)</f>
        <v>0</v>
      </c>
      <c r="AK75" s="226"/>
      <c r="AL75" s="225">
        <f>IF(AL74&gt;K75,0,K75-AL74)</f>
        <v>0</v>
      </c>
      <c r="AM75" s="226"/>
      <c r="AN75" s="225">
        <f>IF(AN74&gt;O75,0,O75-AN74)</f>
        <v>0</v>
      </c>
      <c r="AO75" s="226"/>
      <c r="AP75" s="225">
        <f>IF(AP74&gt;S75,0,S75-AP74)</f>
        <v>0</v>
      </c>
      <c r="AQ75" s="226"/>
    </row>
    <row r="76" spans="1:35" ht="13.5" thickBot="1">
      <c r="A76" s="141"/>
      <c r="B76" s="125" t="s">
        <v>58</v>
      </c>
      <c r="C76" s="126"/>
      <c r="D76" s="126"/>
      <c r="E76" s="126"/>
      <c r="F76" s="161"/>
      <c r="G76" s="156">
        <f>IF(G74&lt;G75,G75,G74)</f>
        <v>24.599999999999998</v>
      </c>
      <c r="H76" s="157"/>
      <c r="I76" s="157"/>
      <c r="J76" s="158"/>
      <c r="K76" s="156">
        <f>IF(K74&lt;K75,K75,K74)</f>
        <v>22</v>
      </c>
      <c r="L76" s="157"/>
      <c r="M76" s="157"/>
      <c r="N76" s="158"/>
      <c r="O76" s="156">
        <f>IF(O74&lt;O75,O75,O74)</f>
        <v>17.799999999999997</v>
      </c>
      <c r="P76" s="157"/>
      <c r="Q76" s="157"/>
      <c r="R76" s="158"/>
      <c r="S76" s="156">
        <f>IF(S74&lt;S75,S75,S74)</f>
        <v>15</v>
      </c>
      <c r="T76" s="157"/>
      <c r="U76" s="157"/>
      <c r="V76" s="158"/>
      <c r="W76" s="153">
        <f t="shared" si="4"/>
        <v>79.39999999999999</v>
      </c>
      <c r="X76" s="154"/>
      <c r="Y76" s="154"/>
      <c r="Z76" s="155"/>
      <c r="AA76" s="232" t="s">
        <v>57</v>
      </c>
      <c r="AB76" s="90"/>
      <c r="AC76" s="90"/>
      <c r="AD76" s="90"/>
      <c r="AE76" s="90"/>
      <c r="AF76" s="90"/>
      <c r="AG76" s="91">
        <f>-AG74+AG75-W83</f>
        <v>-45.47368421052633</v>
      </c>
      <c r="AH76" s="91"/>
      <c r="AI76" s="85"/>
    </row>
    <row r="77" spans="1:35" ht="13.5" thickBot="1">
      <c r="A77" s="141"/>
      <c r="B77" s="125" t="s">
        <v>41</v>
      </c>
      <c r="C77" s="126"/>
      <c r="D77" s="126"/>
      <c r="E77" s="126"/>
      <c r="F77" s="161"/>
      <c r="G77" s="156">
        <v>20</v>
      </c>
      <c r="H77" s="157"/>
      <c r="I77" s="157"/>
      <c r="J77" s="158"/>
      <c r="K77" s="156">
        <v>20</v>
      </c>
      <c r="L77" s="157"/>
      <c r="M77" s="157"/>
      <c r="N77" s="158"/>
      <c r="O77" s="156">
        <v>20</v>
      </c>
      <c r="P77" s="157"/>
      <c r="Q77" s="157"/>
      <c r="R77" s="158"/>
      <c r="S77" s="156">
        <v>20</v>
      </c>
      <c r="T77" s="157"/>
      <c r="U77" s="157"/>
      <c r="V77" s="158"/>
      <c r="W77" s="153">
        <f t="shared" si="4"/>
        <v>80</v>
      </c>
      <c r="X77" s="154"/>
      <c r="Y77" s="154"/>
      <c r="Z77" s="155"/>
      <c r="AA77" s="230" t="s">
        <v>59</v>
      </c>
      <c r="AB77" s="231"/>
      <c r="AC77" s="231"/>
      <c r="AD77" s="231"/>
      <c r="AE77" s="231"/>
      <c r="AF77" s="231"/>
      <c r="AG77" s="88">
        <f>AG74+AG76</f>
        <v>0</v>
      </c>
      <c r="AH77" s="89"/>
      <c r="AI77" s="84"/>
    </row>
    <row r="78" spans="1:35" ht="12.75">
      <c r="A78" s="141"/>
      <c r="B78" s="125" t="s">
        <v>42</v>
      </c>
      <c r="C78" s="126"/>
      <c r="D78" s="126"/>
      <c r="E78" s="126"/>
      <c r="F78" s="161"/>
      <c r="G78" s="169">
        <v>20</v>
      </c>
      <c r="H78" s="167"/>
      <c r="I78" s="167"/>
      <c r="J78" s="168"/>
      <c r="K78" s="166">
        <v>20</v>
      </c>
      <c r="L78" s="167"/>
      <c r="M78" s="167"/>
      <c r="N78" s="168"/>
      <c r="O78" s="169">
        <v>20</v>
      </c>
      <c r="P78" s="167"/>
      <c r="Q78" s="167"/>
      <c r="R78" s="168"/>
      <c r="S78" s="166">
        <v>20</v>
      </c>
      <c r="T78" s="167"/>
      <c r="U78" s="167"/>
      <c r="V78" s="168"/>
      <c r="W78" s="153">
        <f t="shared" si="4"/>
        <v>80</v>
      </c>
      <c r="X78" s="154"/>
      <c r="Y78" s="154"/>
      <c r="Z78" s="155"/>
      <c r="AA78" s="228" t="s">
        <v>279</v>
      </c>
      <c r="AB78" s="229"/>
      <c r="AC78" s="229"/>
      <c r="AD78" s="229"/>
      <c r="AE78" s="229"/>
      <c r="AF78" s="229"/>
      <c r="AG78" s="95">
        <v>4</v>
      </c>
      <c r="AH78" s="95"/>
      <c r="AI78" s="95"/>
    </row>
    <row r="79" spans="1:35" ht="12.75">
      <c r="A79" s="141"/>
      <c r="B79" s="125" t="s">
        <v>43</v>
      </c>
      <c r="C79" s="126"/>
      <c r="D79" s="126"/>
      <c r="E79" s="126"/>
      <c r="F79" s="161"/>
      <c r="G79" s="165">
        <f>G77-G78</f>
        <v>0</v>
      </c>
      <c r="H79" s="163"/>
      <c r="I79" s="163"/>
      <c r="J79" s="164"/>
      <c r="K79" s="165">
        <f>K77-K78</f>
        <v>0</v>
      </c>
      <c r="L79" s="163"/>
      <c r="M79" s="163"/>
      <c r="N79" s="164"/>
      <c r="O79" s="165">
        <f>O77-O78</f>
        <v>0</v>
      </c>
      <c r="P79" s="163"/>
      <c r="Q79" s="163"/>
      <c r="R79" s="164"/>
      <c r="S79" s="165">
        <f>S77-S78</f>
        <v>0</v>
      </c>
      <c r="T79" s="163"/>
      <c r="U79" s="163"/>
      <c r="V79" s="164"/>
      <c r="W79" s="153">
        <f t="shared" si="4"/>
        <v>0</v>
      </c>
      <c r="X79" s="154"/>
      <c r="Y79" s="154"/>
      <c r="Z79" s="155"/>
      <c r="AA79" s="132">
        <f>W73*$L$2/100-AI84</f>
        <v>113.92631578947368</v>
      </c>
      <c r="AB79" s="233"/>
      <c r="AC79" s="233"/>
      <c r="AD79" s="233"/>
      <c r="AE79" s="233"/>
      <c r="AF79" s="233"/>
      <c r="AG79" s="233"/>
      <c r="AH79" s="233"/>
      <c r="AI79" s="233"/>
    </row>
    <row r="80" spans="1:38" ht="12.75">
      <c r="A80" s="141"/>
      <c r="B80" s="125" t="s">
        <v>30</v>
      </c>
      <c r="C80" s="126"/>
      <c r="D80" s="126"/>
      <c r="E80" s="126"/>
      <c r="F80" s="161"/>
      <c r="G80" s="156">
        <f>G73*$L$2/100-AA84</f>
        <v>34.61052631578947</v>
      </c>
      <c r="H80" s="157"/>
      <c r="I80" s="157"/>
      <c r="J80" s="158"/>
      <c r="K80" s="156">
        <f>K73*$L$2/100-AC84</f>
        <v>36.05263157894737</v>
      </c>
      <c r="L80" s="157"/>
      <c r="M80" s="157"/>
      <c r="N80" s="158"/>
      <c r="O80" s="156">
        <f>O73*$L$2/100-AE84</f>
        <v>25.236842105263158</v>
      </c>
      <c r="P80" s="157"/>
      <c r="Q80" s="157"/>
      <c r="R80" s="158"/>
      <c r="S80" s="156">
        <f>S73*$L$2/100-AG84</f>
        <v>18.026315789473685</v>
      </c>
      <c r="T80" s="157"/>
      <c r="U80" s="157"/>
      <c r="V80" s="158"/>
      <c r="W80" s="153">
        <f t="shared" si="4"/>
        <v>113.92631578947369</v>
      </c>
      <c r="X80" s="154"/>
      <c r="Y80" s="154"/>
      <c r="Z80" s="155"/>
      <c r="AA80" s="101">
        <f>IF(G73&lt;G72,$T$5*(G73-G72)*$L$3/100,$T$5*G73/100)</f>
        <v>0.96</v>
      </c>
      <c r="AB80" s="101"/>
      <c r="AC80" s="101">
        <f>IF(K73&lt;K72,$T$5*(K73-K72)*$L$3/100,$T$5*K73/100)</f>
        <v>1</v>
      </c>
      <c r="AD80" s="101"/>
      <c r="AE80" s="101">
        <f>IF(O73&lt;O72,$T$5*(O73-O72)*$L$3/100,$T$5*O73/100)</f>
        <v>0.7</v>
      </c>
      <c r="AF80" s="101"/>
      <c r="AG80" s="101">
        <f>IF(S73&lt;S72,$T$5*(S73-S72)*$L$3/100,$T$5*S73/100)</f>
        <v>0.5</v>
      </c>
      <c r="AH80" s="101"/>
      <c r="AI80" s="97">
        <f>SUM(AA80:AH80)</f>
        <v>3.16</v>
      </c>
      <c r="AJ80" s="98"/>
      <c r="AK80" s="98"/>
      <c r="AL80" s="2" t="s">
        <v>277</v>
      </c>
    </row>
    <row r="81" spans="1:38" ht="12.75">
      <c r="A81" s="141"/>
      <c r="B81" s="125" t="s">
        <v>283</v>
      </c>
      <c r="C81" s="126"/>
      <c r="D81" s="126"/>
      <c r="E81" s="126"/>
      <c r="F81" s="161"/>
      <c r="G81" s="156">
        <f>G80-G77-G76+$AI83</f>
        <v>-9.989473684210527</v>
      </c>
      <c r="H81" s="157"/>
      <c r="I81" s="157"/>
      <c r="J81" s="158"/>
      <c r="K81" s="156">
        <f>K80-K77-K76+$AI83</f>
        <v>-5.94736842105263</v>
      </c>
      <c r="L81" s="157"/>
      <c r="M81" s="157"/>
      <c r="N81" s="158"/>
      <c r="O81" s="156">
        <f>O80-O77-O76+$AI83</f>
        <v>-12.56315789473684</v>
      </c>
      <c r="P81" s="157"/>
      <c r="Q81" s="157"/>
      <c r="R81" s="158"/>
      <c r="S81" s="156">
        <f>S80-S77-S76+$AI83</f>
        <v>-16.973684210526315</v>
      </c>
      <c r="T81" s="157"/>
      <c r="U81" s="157"/>
      <c r="V81" s="158"/>
      <c r="W81" s="153">
        <f t="shared" si="4"/>
        <v>-45.473684210526315</v>
      </c>
      <c r="X81" s="154"/>
      <c r="Y81" s="154"/>
      <c r="Z81" s="159"/>
      <c r="AA81" s="101">
        <f>IF(G73&lt;G72,0,$T$3*G73/100)</f>
        <v>0</v>
      </c>
      <c r="AB81" s="101"/>
      <c r="AC81" s="101">
        <f>IF(K73&lt;K72,0,$T$3*K73/100)</f>
        <v>0</v>
      </c>
      <c r="AD81" s="101"/>
      <c r="AE81" s="101">
        <f>IF(O73&lt;O72,0,$T$3*O73/100)</f>
        <v>0</v>
      </c>
      <c r="AF81" s="101"/>
      <c r="AG81" s="101">
        <f>IF(S73&lt;S72,0,$T$3*S73/100)</f>
        <v>0</v>
      </c>
      <c r="AH81" s="101"/>
      <c r="AI81" s="97">
        <f>SUM(AA81:AH81)</f>
        <v>0</v>
      </c>
      <c r="AJ81" s="98"/>
      <c r="AK81" s="98"/>
      <c r="AL81" s="2" t="s">
        <v>248</v>
      </c>
    </row>
    <row r="82" spans="1:38" ht="12.75">
      <c r="A82" s="141"/>
      <c r="B82" s="125" t="s">
        <v>45</v>
      </c>
      <c r="C82" s="126"/>
      <c r="D82" s="126"/>
      <c r="E82" s="126"/>
      <c r="F82" s="161"/>
      <c r="G82" s="156">
        <f>G81+G79</f>
        <v>-9.989473684210527</v>
      </c>
      <c r="H82" s="157"/>
      <c r="I82" s="157"/>
      <c r="J82" s="158"/>
      <c r="K82" s="156">
        <f>K81+K79</f>
        <v>-5.94736842105263</v>
      </c>
      <c r="L82" s="157"/>
      <c r="M82" s="157"/>
      <c r="N82" s="158"/>
      <c r="O82" s="156">
        <f>O81+O79</f>
        <v>-12.56315789473684</v>
      </c>
      <c r="P82" s="157"/>
      <c r="Q82" s="157"/>
      <c r="R82" s="158"/>
      <c r="S82" s="156">
        <f>S81+S79</f>
        <v>-16.973684210526315</v>
      </c>
      <c r="T82" s="157"/>
      <c r="U82" s="157"/>
      <c r="V82" s="158"/>
      <c r="W82" s="153">
        <f t="shared" si="4"/>
        <v>-45.473684210526315</v>
      </c>
      <c r="X82" s="154"/>
      <c r="Y82" s="154"/>
      <c r="Z82" s="155"/>
      <c r="AA82" s="101">
        <f>IF(G73&lt;G72,0,$T$4*G73/100)</f>
        <v>0</v>
      </c>
      <c r="AB82" s="101"/>
      <c r="AC82" s="101">
        <f>IF(K73&lt;K72,0,$T$4*K73/100)</f>
        <v>0</v>
      </c>
      <c r="AD82" s="101"/>
      <c r="AE82" s="101">
        <f>IF(O73&lt;O72,0,$T$4*O73/100)</f>
        <v>0</v>
      </c>
      <c r="AF82" s="101"/>
      <c r="AG82" s="101">
        <f>IF(S73&lt;S72,0,$T$4*S73/100)</f>
        <v>0</v>
      </c>
      <c r="AH82" s="101"/>
      <c r="AI82" s="97">
        <f>SUM(AA82:AH82)</f>
        <v>0</v>
      </c>
      <c r="AJ82" s="98"/>
      <c r="AK82" s="98"/>
      <c r="AL82" s="2" t="s">
        <v>281</v>
      </c>
    </row>
    <row r="83" spans="1:38" ht="12.75">
      <c r="A83" s="141"/>
      <c r="B83" s="194" t="s">
        <v>26</v>
      </c>
      <c r="C83" s="98"/>
      <c r="D83" s="98"/>
      <c r="E83" s="98"/>
      <c r="F83" s="195"/>
      <c r="G83" s="196">
        <f>$AG75/100*$AL$3</f>
        <v>0</v>
      </c>
      <c r="H83" s="197"/>
      <c r="I83" s="197"/>
      <c r="J83" s="198"/>
      <c r="K83" s="196">
        <f>$AG75/100*$AL$3</f>
        <v>0</v>
      </c>
      <c r="L83" s="197"/>
      <c r="M83" s="197"/>
      <c r="N83" s="198"/>
      <c r="O83" s="196">
        <f>$AG75/100*$AL$3</f>
        <v>0</v>
      </c>
      <c r="P83" s="197"/>
      <c r="Q83" s="197"/>
      <c r="R83" s="198"/>
      <c r="S83" s="196">
        <f>$AG75/100*$AL$3</f>
        <v>0</v>
      </c>
      <c r="T83" s="197"/>
      <c r="U83" s="197"/>
      <c r="V83" s="198"/>
      <c r="W83" s="153">
        <f t="shared" si="4"/>
        <v>0</v>
      </c>
      <c r="X83" s="154"/>
      <c r="Y83" s="154"/>
      <c r="Z83" s="155"/>
      <c r="AI83" s="224">
        <f>'ЦФУ Продажи'!V$59</f>
        <v>0</v>
      </c>
      <c r="AJ83" s="224"/>
      <c r="AK83" s="224"/>
      <c r="AL83" s="2" t="s">
        <v>280</v>
      </c>
    </row>
    <row r="84" spans="1:38" ht="13.5" thickBot="1">
      <c r="A84" s="141"/>
      <c r="B84" s="191" t="s">
        <v>28</v>
      </c>
      <c r="C84" s="192"/>
      <c r="D84" s="192"/>
      <c r="E84" s="192"/>
      <c r="F84" s="193"/>
      <c r="G84" s="149">
        <f>IF(G83&lt;0,G76,G76+G83)</f>
        <v>24.599999999999998</v>
      </c>
      <c r="H84" s="147"/>
      <c r="I84" s="147"/>
      <c r="J84" s="148"/>
      <c r="K84" s="146">
        <v>0</v>
      </c>
      <c r="L84" s="147"/>
      <c r="M84" s="147"/>
      <c r="N84" s="148"/>
      <c r="O84" s="149">
        <f>IF(O83&lt;0,O76,O76+O83)</f>
        <v>17.799999999999997</v>
      </c>
      <c r="P84" s="147"/>
      <c r="Q84" s="147"/>
      <c r="R84" s="148"/>
      <c r="S84" s="146">
        <f>IF(S83&lt;0,S76,S76+S83)</f>
        <v>15</v>
      </c>
      <c r="T84" s="147"/>
      <c r="U84" s="147"/>
      <c r="V84" s="148"/>
      <c r="W84" s="150">
        <f t="shared" si="4"/>
        <v>57.39999999999999</v>
      </c>
      <c r="X84" s="151"/>
      <c r="Y84" s="151"/>
      <c r="Z84" s="152"/>
      <c r="AA84" s="101">
        <f>IF($AI80&gt;0,IF(AA80&gt;=0,0,G73*($T$2+$T$3+$T$5)/100-AA80),IF(G73&lt;G72,G73*($T$2+$T$3+$T$5)/100,AA80))</f>
        <v>0</v>
      </c>
      <c r="AB84" s="101"/>
      <c r="AC84" s="101">
        <f>IF($AI80&gt;=0,IF(AC80&gt;=0,0,K73*($T$2+$T$3+$T$4+$T$5)/100-AC80),IF(AC80&lt;0,K73*($T$2+$T$3+$T$4+$T$5)/100,AC80))</f>
        <v>0</v>
      </c>
      <c r="AD84" s="101"/>
      <c r="AE84" s="101">
        <f>IF($AI80&gt;=0,IF(AE80&gt;=0,0,O73*($T$2+$T$3+$T$4+$T$5)/100-AE80),IF(AE80&lt;0,O73*($T$2+$T$3+$T$4+$T$5)/100,AE80))</f>
        <v>0</v>
      </c>
      <c r="AF84" s="101"/>
      <c r="AG84" s="101">
        <f>IF($AI80&gt;=0,IF(AG80&gt;=0,0,S73*($T$2+$T$3+$T$4+$T$5)/100-AG80),IF(AG80&lt;0,S73*($T$2+$T$3+$T$4+$T$5)/100,AG80))</f>
        <v>0</v>
      </c>
      <c r="AH84" s="101"/>
      <c r="AI84" s="97">
        <f>SUM(AA84:AH84)</f>
        <v>0</v>
      </c>
      <c r="AJ84" s="98"/>
      <c r="AK84" s="98"/>
      <c r="AL84" s="2" t="s">
        <v>218</v>
      </c>
    </row>
    <row r="85" spans="1:35" ht="12.75" customHeight="1">
      <c r="A85" s="140" t="s">
        <v>67</v>
      </c>
      <c r="B85" s="93" t="s">
        <v>23</v>
      </c>
      <c r="C85" s="94"/>
      <c r="D85" s="94"/>
      <c r="E85" s="94"/>
      <c r="F85" s="199"/>
      <c r="G85" s="185">
        <v>1120</v>
      </c>
      <c r="H85" s="183"/>
      <c r="I85" s="183"/>
      <c r="J85" s="184"/>
      <c r="K85" s="182">
        <v>1200</v>
      </c>
      <c r="L85" s="183"/>
      <c r="M85" s="183"/>
      <c r="N85" s="184"/>
      <c r="O85" s="185">
        <v>1000</v>
      </c>
      <c r="P85" s="183"/>
      <c r="Q85" s="183"/>
      <c r="R85" s="184"/>
      <c r="S85" s="182">
        <v>700</v>
      </c>
      <c r="T85" s="183"/>
      <c r="U85" s="183"/>
      <c r="V85" s="184"/>
      <c r="W85" s="170">
        <f t="shared" si="4"/>
        <v>4020</v>
      </c>
      <c r="X85" s="171"/>
      <c r="Y85" s="171"/>
      <c r="Z85" s="172"/>
      <c r="AA85" s="93" t="s">
        <v>53</v>
      </c>
      <c r="AB85" s="94"/>
      <c r="AC85" s="94"/>
      <c r="AD85" s="94"/>
      <c r="AE85" s="94"/>
      <c r="AF85" s="94"/>
      <c r="AG85" s="173">
        <f>(W90+$N$2*AG91)/W85*100+$Q$2+$T$2+$T$3+$T$5</f>
        <v>4.286069651741293</v>
      </c>
      <c r="AH85" s="174"/>
      <c r="AI85" s="175"/>
    </row>
    <row r="86" spans="1:36" ht="12.75">
      <c r="A86" s="141"/>
      <c r="B86" s="125" t="s">
        <v>24</v>
      </c>
      <c r="C86" s="126"/>
      <c r="D86" s="126"/>
      <c r="E86" s="126"/>
      <c r="F86" s="161"/>
      <c r="G86" s="179">
        <v>1120</v>
      </c>
      <c r="H86" s="177"/>
      <c r="I86" s="177"/>
      <c r="J86" s="178"/>
      <c r="K86" s="176">
        <v>1200</v>
      </c>
      <c r="L86" s="177"/>
      <c r="M86" s="177"/>
      <c r="N86" s="178"/>
      <c r="O86" s="179">
        <v>1000</v>
      </c>
      <c r="P86" s="177"/>
      <c r="Q86" s="177"/>
      <c r="R86" s="178"/>
      <c r="S86" s="176">
        <v>700</v>
      </c>
      <c r="T86" s="177"/>
      <c r="U86" s="177"/>
      <c r="V86" s="178"/>
      <c r="W86" s="153">
        <f t="shared" si="4"/>
        <v>4020</v>
      </c>
      <c r="X86" s="154"/>
      <c r="Y86" s="154"/>
      <c r="Z86" s="155"/>
      <c r="AA86" s="125" t="s">
        <v>54</v>
      </c>
      <c r="AB86" s="126"/>
      <c r="AC86" s="126"/>
      <c r="AD86" s="126"/>
      <c r="AE86" s="126"/>
      <c r="AF86" s="126"/>
      <c r="AG86" s="180">
        <f>(AG85-$L$2)*W85/100</f>
        <v>27.368421052631575</v>
      </c>
      <c r="AH86" s="180"/>
      <c r="AI86" s="181"/>
      <c r="AJ86" s="2" t="s">
        <v>284</v>
      </c>
    </row>
    <row r="87" spans="1:43" ht="12.75">
      <c r="A87" s="141"/>
      <c r="B87" s="125" t="s">
        <v>29</v>
      </c>
      <c r="C87" s="126"/>
      <c r="D87" s="126"/>
      <c r="E87" s="126"/>
      <c r="F87" s="161"/>
      <c r="G87" s="156">
        <f>IF(G85&lt;=G86,$N$2+G86/100*($Q$2+$T$2)+$AI94/$AG91+$AI96+IF(AI93&gt;0,AI93,0),$N$2+G86/100*$Q$2+$AI94/$AG91+$AI96+IF(AI93&gt;0,AI93,0))</f>
        <v>27.7</v>
      </c>
      <c r="H87" s="157"/>
      <c r="I87" s="157"/>
      <c r="J87" s="158"/>
      <c r="K87" s="156">
        <f>IF(K85&lt;=K86,$N$2+K86/100*($Q$2+$T$2)+$AI94/$AG91+$AI96,$N$2+K86/100*$Q$2+$AI94/$AG91+$AI96)</f>
        <v>24.799999999999997</v>
      </c>
      <c r="L87" s="157"/>
      <c r="M87" s="157"/>
      <c r="N87" s="158"/>
      <c r="O87" s="156">
        <f>IF(O85&lt;=O86,$N$2+O86/100*($Q$2+$T$2)+$AI94/$AG91+$AI96,$N$2+O86/100*$Q$2+$AI94/$AG91+$AI96)</f>
        <v>22</v>
      </c>
      <c r="P87" s="157"/>
      <c r="Q87" s="157"/>
      <c r="R87" s="158"/>
      <c r="S87" s="156">
        <f>IF(S85&lt;=S86,$N$2+S86/100*($Q$2+$T$2)+$AI94/$AG91+$AI96,$N$2+S86/100*$Q$2+$AI94/$AG91+$AI96)</f>
        <v>17.799999999999997</v>
      </c>
      <c r="T87" s="157"/>
      <c r="U87" s="157"/>
      <c r="V87" s="158"/>
      <c r="W87" s="153">
        <f t="shared" si="4"/>
        <v>92.3</v>
      </c>
      <c r="X87" s="154"/>
      <c r="Y87" s="154"/>
      <c r="Z87" s="155"/>
      <c r="AA87" s="205" t="s">
        <v>55</v>
      </c>
      <c r="AB87" s="126"/>
      <c r="AC87" s="126"/>
      <c r="AD87" s="126"/>
      <c r="AE87" s="126"/>
      <c r="AF87" s="126"/>
      <c r="AG87" s="122">
        <f>SUM(AJ88:AQ88)+AG86</f>
        <v>27.368421052631575</v>
      </c>
      <c r="AH87" s="123"/>
      <c r="AI87" s="124"/>
      <c r="AJ87" s="225">
        <f>$N$2+G85*($Q$2+$T$2+$T$3/$AG91)/100+$T$5*$W85/100</f>
        <v>27.7</v>
      </c>
      <c r="AK87" s="226"/>
      <c r="AL87" s="225">
        <f>$N$2+K85*($Q$2+$T$2+$T$3/$AG91)/100</f>
        <v>24.8</v>
      </c>
      <c r="AM87" s="226"/>
      <c r="AN87" s="225">
        <f>$N$2+O85*($Q$2+$T$2+$T$3/$AG91)/100</f>
        <v>22</v>
      </c>
      <c r="AO87" s="226"/>
      <c r="AP87" s="225">
        <f>$N$2+S85*($Q$2+$T$2+$T$3/$AG91)/100</f>
        <v>17.799999999999997</v>
      </c>
      <c r="AQ87" s="226"/>
    </row>
    <row r="88" spans="1:43" ht="12.75">
      <c r="A88" s="141"/>
      <c r="B88" s="125" t="s">
        <v>10</v>
      </c>
      <c r="C88" s="126"/>
      <c r="D88" s="126"/>
      <c r="E88" s="126"/>
      <c r="F88" s="161"/>
      <c r="G88" s="169">
        <v>8</v>
      </c>
      <c r="H88" s="167"/>
      <c r="I88" s="167"/>
      <c r="J88" s="168"/>
      <c r="K88" s="166">
        <v>8</v>
      </c>
      <c r="L88" s="167"/>
      <c r="M88" s="167"/>
      <c r="N88" s="168"/>
      <c r="O88" s="169">
        <v>8</v>
      </c>
      <c r="P88" s="167"/>
      <c r="Q88" s="167"/>
      <c r="R88" s="168"/>
      <c r="S88" s="166">
        <v>8</v>
      </c>
      <c r="T88" s="167"/>
      <c r="U88" s="167"/>
      <c r="V88" s="168"/>
      <c r="W88" s="153">
        <f t="shared" si="4"/>
        <v>32</v>
      </c>
      <c r="X88" s="154"/>
      <c r="Y88" s="154"/>
      <c r="Z88" s="155"/>
      <c r="AA88" s="205" t="s">
        <v>56</v>
      </c>
      <c r="AB88" s="126"/>
      <c r="AC88" s="126"/>
      <c r="AD88" s="126"/>
      <c r="AE88" s="126"/>
      <c r="AF88" s="126"/>
      <c r="AG88" s="134">
        <f>W95+AG87</f>
        <v>0</v>
      </c>
      <c r="AH88" s="134"/>
      <c r="AI88" s="135"/>
      <c r="AJ88" s="225">
        <f>IF(AJ87&gt;G88,0,G88-AJ87)</f>
        <v>0</v>
      </c>
      <c r="AK88" s="226"/>
      <c r="AL88" s="225">
        <f>IF(AL87&gt;K88,0,K88-AL87)</f>
        <v>0</v>
      </c>
      <c r="AM88" s="226"/>
      <c r="AN88" s="225">
        <f>IF(AN87&gt;O88,0,O88-AN87)</f>
        <v>0</v>
      </c>
      <c r="AO88" s="226"/>
      <c r="AP88" s="225">
        <f>IF(AP87&gt;S88,0,S88-AP87)</f>
        <v>0</v>
      </c>
      <c r="AQ88" s="226"/>
    </row>
    <row r="89" spans="1:35" ht="13.5" thickBot="1">
      <c r="A89" s="141"/>
      <c r="B89" s="125" t="s">
        <v>58</v>
      </c>
      <c r="C89" s="126"/>
      <c r="D89" s="126"/>
      <c r="E89" s="126"/>
      <c r="F89" s="161"/>
      <c r="G89" s="156">
        <f>IF(G87&lt;G88,G88,G87)</f>
        <v>27.7</v>
      </c>
      <c r="H89" s="157"/>
      <c r="I89" s="157"/>
      <c r="J89" s="158"/>
      <c r="K89" s="156">
        <f>IF(K87&lt;K88,K88,K87)</f>
        <v>24.799999999999997</v>
      </c>
      <c r="L89" s="157"/>
      <c r="M89" s="157"/>
      <c r="N89" s="158"/>
      <c r="O89" s="156">
        <f>IF(O87&lt;O88,O88,O87)</f>
        <v>22</v>
      </c>
      <c r="P89" s="157"/>
      <c r="Q89" s="157"/>
      <c r="R89" s="158"/>
      <c r="S89" s="156">
        <f>IF(S87&lt;S88,S88,S87)</f>
        <v>17.799999999999997</v>
      </c>
      <c r="T89" s="157"/>
      <c r="U89" s="157"/>
      <c r="V89" s="158"/>
      <c r="W89" s="153">
        <f t="shared" si="4"/>
        <v>92.3</v>
      </c>
      <c r="X89" s="154"/>
      <c r="Y89" s="154"/>
      <c r="Z89" s="155"/>
      <c r="AA89" s="232" t="s">
        <v>57</v>
      </c>
      <c r="AB89" s="90"/>
      <c r="AC89" s="90"/>
      <c r="AD89" s="90"/>
      <c r="AE89" s="90"/>
      <c r="AF89" s="90"/>
      <c r="AG89" s="91">
        <f>-AG87+AG88-W96</f>
        <v>-27.368421052631575</v>
      </c>
      <c r="AH89" s="91"/>
      <c r="AI89" s="85"/>
    </row>
    <row r="90" spans="1:35" ht="13.5" thickBot="1">
      <c r="A90" s="141"/>
      <c r="B90" s="125" t="s">
        <v>41</v>
      </c>
      <c r="C90" s="126"/>
      <c r="D90" s="126"/>
      <c r="E90" s="126"/>
      <c r="F90" s="161"/>
      <c r="G90" s="156">
        <v>20</v>
      </c>
      <c r="H90" s="157"/>
      <c r="I90" s="157"/>
      <c r="J90" s="158"/>
      <c r="K90" s="156">
        <v>20</v>
      </c>
      <c r="L90" s="157"/>
      <c r="M90" s="157"/>
      <c r="N90" s="158"/>
      <c r="O90" s="156">
        <v>20</v>
      </c>
      <c r="P90" s="157"/>
      <c r="Q90" s="157"/>
      <c r="R90" s="158"/>
      <c r="S90" s="156">
        <v>20</v>
      </c>
      <c r="T90" s="157"/>
      <c r="U90" s="157"/>
      <c r="V90" s="158"/>
      <c r="W90" s="153">
        <f t="shared" si="4"/>
        <v>80</v>
      </c>
      <c r="X90" s="154"/>
      <c r="Y90" s="154"/>
      <c r="Z90" s="155"/>
      <c r="AA90" s="230" t="s">
        <v>59</v>
      </c>
      <c r="AB90" s="231"/>
      <c r="AC90" s="231"/>
      <c r="AD90" s="231"/>
      <c r="AE90" s="231"/>
      <c r="AF90" s="231"/>
      <c r="AG90" s="88">
        <f>AG87+AG89</f>
        <v>0</v>
      </c>
      <c r="AH90" s="89"/>
      <c r="AI90" s="84"/>
    </row>
    <row r="91" spans="1:35" ht="12.75">
      <c r="A91" s="141"/>
      <c r="B91" s="125" t="s">
        <v>42</v>
      </c>
      <c r="C91" s="126"/>
      <c r="D91" s="126"/>
      <c r="E91" s="126"/>
      <c r="F91" s="161"/>
      <c r="G91" s="169">
        <v>20</v>
      </c>
      <c r="H91" s="167"/>
      <c r="I91" s="167"/>
      <c r="J91" s="168"/>
      <c r="K91" s="166">
        <v>20</v>
      </c>
      <c r="L91" s="167"/>
      <c r="M91" s="167"/>
      <c r="N91" s="168"/>
      <c r="O91" s="169">
        <v>20</v>
      </c>
      <c r="P91" s="167"/>
      <c r="Q91" s="167"/>
      <c r="R91" s="168"/>
      <c r="S91" s="166">
        <v>20</v>
      </c>
      <c r="T91" s="167"/>
      <c r="U91" s="167"/>
      <c r="V91" s="168"/>
      <c r="W91" s="153">
        <f t="shared" si="4"/>
        <v>80</v>
      </c>
      <c r="X91" s="154"/>
      <c r="Y91" s="154"/>
      <c r="Z91" s="155"/>
      <c r="AA91" s="228" t="s">
        <v>279</v>
      </c>
      <c r="AB91" s="229"/>
      <c r="AC91" s="229"/>
      <c r="AD91" s="229"/>
      <c r="AE91" s="229"/>
      <c r="AF91" s="229"/>
      <c r="AG91" s="95">
        <v>4</v>
      </c>
      <c r="AH91" s="95"/>
      <c r="AI91" s="95"/>
    </row>
    <row r="92" spans="1:35" ht="12.75">
      <c r="A92" s="141"/>
      <c r="B92" s="125" t="s">
        <v>43</v>
      </c>
      <c r="C92" s="126"/>
      <c r="D92" s="126"/>
      <c r="E92" s="126"/>
      <c r="F92" s="161"/>
      <c r="G92" s="165">
        <f>G90-G91</f>
        <v>0</v>
      </c>
      <c r="H92" s="163"/>
      <c r="I92" s="163"/>
      <c r="J92" s="164"/>
      <c r="K92" s="165">
        <f>K90-K91</f>
        <v>0</v>
      </c>
      <c r="L92" s="163"/>
      <c r="M92" s="163"/>
      <c r="N92" s="164"/>
      <c r="O92" s="165">
        <f>O90-O91</f>
        <v>0</v>
      </c>
      <c r="P92" s="163"/>
      <c r="Q92" s="163"/>
      <c r="R92" s="164"/>
      <c r="S92" s="165">
        <f>S90-S91</f>
        <v>0</v>
      </c>
      <c r="T92" s="163"/>
      <c r="U92" s="163"/>
      <c r="V92" s="164"/>
      <c r="W92" s="153">
        <f t="shared" si="4"/>
        <v>0</v>
      </c>
      <c r="X92" s="154"/>
      <c r="Y92" s="154"/>
      <c r="Z92" s="155"/>
      <c r="AA92" s="132">
        <f>W86*$L$2/100-AI97</f>
        <v>144.93157894736842</v>
      </c>
      <c r="AB92" s="233"/>
      <c r="AC92" s="233"/>
      <c r="AD92" s="233"/>
      <c r="AE92" s="233"/>
      <c r="AF92" s="233"/>
      <c r="AG92" s="233"/>
      <c r="AH92" s="233"/>
      <c r="AI92" s="233"/>
    </row>
    <row r="93" spans="1:38" ht="12.75">
      <c r="A93" s="141"/>
      <c r="B93" s="125" t="s">
        <v>30</v>
      </c>
      <c r="C93" s="126"/>
      <c r="D93" s="126"/>
      <c r="E93" s="126"/>
      <c r="F93" s="161"/>
      <c r="G93" s="156">
        <f>G86*$L$2/100-AA97</f>
        <v>40.37894736842105</v>
      </c>
      <c r="H93" s="157"/>
      <c r="I93" s="157"/>
      <c r="J93" s="158"/>
      <c r="K93" s="156">
        <f>K86*$L$2/100-AC97</f>
        <v>43.26315789473684</v>
      </c>
      <c r="L93" s="157"/>
      <c r="M93" s="157"/>
      <c r="N93" s="158"/>
      <c r="O93" s="156">
        <f>O86*$L$2/100-AE97</f>
        <v>36.05263157894737</v>
      </c>
      <c r="P93" s="157"/>
      <c r="Q93" s="157"/>
      <c r="R93" s="158"/>
      <c r="S93" s="156">
        <f>S86*$L$2/100-AG97</f>
        <v>25.236842105263158</v>
      </c>
      <c r="T93" s="157"/>
      <c r="U93" s="157"/>
      <c r="V93" s="158"/>
      <c r="W93" s="153">
        <f t="shared" si="4"/>
        <v>144.93157894736842</v>
      </c>
      <c r="X93" s="154"/>
      <c r="Y93" s="154"/>
      <c r="Z93" s="155"/>
      <c r="AA93" s="101">
        <f>IF(G86&lt;G85,$T$5*(G86-G85)*$L$3/100,$T$5*G86/100)</f>
        <v>1.12</v>
      </c>
      <c r="AB93" s="101"/>
      <c r="AC93" s="101">
        <f>IF(K86&lt;K85,$T$5*(K86-K85)*$L$3/100,$T$5*K86/100)</f>
        <v>1.2</v>
      </c>
      <c r="AD93" s="101"/>
      <c r="AE93" s="101">
        <f>IF(O86&lt;O85,$T$5*(O86-O85)*$L$3/100,$T$5*O86/100)</f>
        <v>1</v>
      </c>
      <c r="AF93" s="101"/>
      <c r="AG93" s="101">
        <f>IF(S86&lt;S85,$T$5*(S86-S85)*$L$3/100,$T$5*S86/100)</f>
        <v>0.7</v>
      </c>
      <c r="AH93" s="101"/>
      <c r="AI93" s="97">
        <f>SUM(AA93:AH93)</f>
        <v>4.0200000000000005</v>
      </c>
      <c r="AJ93" s="98"/>
      <c r="AK93" s="98"/>
      <c r="AL93" s="2" t="s">
        <v>277</v>
      </c>
    </row>
    <row r="94" spans="1:38" ht="12.75">
      <c r="A94" s="141"/>
      <c r="B94" s="125" t="s">
        <v>283</v>
      </c>
      <c r="C94" s="126"/>
      <c r="D94" s="126"/>
      <c r="E94" s="126"/>
      <c r="F94" s="161"/>
      <c r="G94" s="156">
        <f>G93-G90-G89+$AI96</f>
        <v>-7.321052631578947</v>
      </c>
      <c r="H94" s="157"/>
      <c r="I94" s="157"/>
      <c r="J94" s="158"/>
      <c r="K94" s="156">
        <f>K93-K90-K89+$AI96</f>
        <v>-1.5368421052631547</v>
      </c>
      <c r="L94" s="157"/>
      <c r="M94" s="157"/>
      <c r="N94" s="158"/>
      <c r="O94" s="156">
        <f>O93-O90-O89+$AI96</f>
        <v>-5.94736842105263</v>
      </c>
      <c r="P94" s="157"/>
      <c r="Q94" s="157"/>
      <c r="R94" s="158"/>
      <c r="S94" s="156">
        <f>S93-S90-S89+$AI96</f>
        <v>-12.56315789473684</v>
      </c>
      <c r="T94" s="157"/>
      <c r="U94" s="157"/>
      <c r="V94" s="158"/>
      <c r="W94" s="153">
        <f t="shared" si="4"/>
        <v>-27.36842105263157</v>
      </c>
      <c r="X94" s="154"/>
      <c r="Y94" s="154"/>
      <c r="Z94" s="159"/>
      <c r="AA94" s="101">
        <f>IF(G86&lt;G85,0,$T$3*G86/100)</f>
        <v>0</v>
      </c>
      <c r="AB94" s="101"/>
      <c r="AC94" s="101">
        <f>IF(K86&lt;K85,0,$T$3*K86/100)</f>
        <v>0</v>
      </c>
      <c r="AD94" s="101"/>
      <c r="AE94" s="101">
        <f>IF(O86&lt;O85,0,$T$3*O86/100)</f>
        <v>0</v>
      </c>
      <c r="AF94" s="101"/>
      <c r="AG94" s="101">
        <f>IF(S86&lt;S85,0,$T$3*S86/100)</f>
        <v>0</v>
      </c>
      <c r="AH94" s="101"/>
      <c r="AI94" s="97">
        <f>SUM(AA94:AH94)</f>
        <v>0</v>
      </c>
      <c r="AJ94" s="98"/>
      <c r="AK94" s="98"/>
      <c r="AL94" s="2" t="s">
        <v>248</v>
      </c>
    </row>
    <row r="95" spans="1:38" ht="12.75">
      <c r="A95" s="141"/>
      <c r="B95" s="125" t="s">
        <v>45</v>
      </c>
      <c r="C95" s="126"/>
      <c r="D95" s="126"/>
      <c r="E95" s="126"/>
      <c r="F95" s="161"/>
      <c r="G95" s="156">
        <f>G94+G92</f>
        <v>-7.321052631578947</v>
      </c>
      <c r="H95" s="157"/>
      <c r="I95" s="157"/>
      <c r="J95" s="158"/>
      <c r="K95" s="156">
        <f>K94+K92</f>
        <v>-1.5368421052631547</v>
      </c>
      <c r="L95" s="157"/>
      <c r="M95" s="157"/>
      <c r="N95" s="158"/>
      <c r="O95" s="156">
        <f>O94+O92</f>
        <v>-5.94736842105263</v>
      </c>
      <c r="P95" s="157"/>
      <c r="Q95" s="157"/>
      <c r="R95" s="158"/>
      <c r="S95" s="156">
        <f>S94+S92</f>
        <v>-12.56315789473684</v>
      </c>
      <c r="T95" s="157"/>
      <c r="U95" s="157"/>
      <c r="V95" s="158"/>
      <c r="W95" s="153">
        <f t="shared" si="4"/>
        <v>-27.36842105263157</v>
      </c>
      <c r="X95" s="154"/>
      <c r="Y95" s="154"/>
      <c r="Z95" s="155"/>
      <c r="AA95" s="101">
        <f>IF(G86&lt;G85,0,$T$4*G86/100)</f>
        <v>0</v>
      </c>
      <c r="AB95" s="101"/>
      <c r="AC95" s="101">
        <f>IF(K86&lt;K85,0,$T$4*K86/100)</f>
        <v>0</v>
      </c>
      <c r="AD95" s="101"/>
      <c r="AE95" s="101">
        <f>IF(O86&lt;O85,0,$T$4*O86/100)</f>
        <v>0</v>
      </c>
      <c r="AF95" s="101"/>
      <c r="AG95" s="101">
        <f>IF(S86&lt;S85,0,$T$4*S86/100)</f>
        <v>0</v>
      </c>
      <c r="AH95" s="101"/>
      <c r="AI95" s="97">
        <f>SUM(AA95:AH95)</f>
        <v>0</v>
      </c>
      <c r="AJ95" s="98"/>
      <c r="AK95" s="98"/>
      <c r="AL95" s="2" t="s">
        <v>281</v>
      </c>
    </row>
    <row r="96" spans="1:38" ht="12.75">
      <c r="A96" s="141"/>
      <c r="B96" s="194" t="s">
        <v>26</v>
      </c>
      <c r="C96" s="98"/>
      <c r="D96" s="98"/>
      <c r="E96" s="98"/>
      <c r="F96" s="195"/>
      <c r="G96" s="196">
        <f>$AG88/100*$AL$3</f>
        <v>0</v>
      </c>
      <c r="H96" s="197"/>
      <c r="I96" s="197"/>
      <c r="J96" s="198"/>
      <c r="K96" s="196">
        <f>$AG88/100*$AL$3</f>
        <v>0</v>
      </c>
      <c r="L96" s="197"/>
      <c r="M96" s="197"/>
      <c r="N96" s="198"/>
      <c r="O96" s="196">
        <f>$AG88/100*$AL$3</f>
        <v>0</v>
      </c>
      <c r="P96" s="197"/>
      <c r="Q96" s="197"/>
      <c r="R96" s="198"/>
      <c r="S96" s="196">
        <f>$AG88/100*$AL$3</f>
        <v>0</v>
      </c>
      <c r="T96" s="197"/>
      <c r="U96" s="197"/>
      <c r="V96" s="198"/>
      <c r="W96" s="153">
        <f t="shared" si="4"/>
        <v>0</v>
      </c>
      <c r="X96" s="154"/>
      <c r="Y96" s="154"/>
      <c r="Z96" s="155"/>
      <c r="AI96" s="224">
        <f>'ЦФУ Продажи'!Y$59</f>
        <v>0</v>
      </c>
      <c r="AJ96" s="224"/>
      <c r="AK96" s="224"/>
      <c r="AL96" s="2" t="s">
        <v>280</v>
      </c>
    </row>
    <row r="97" spans="1:38" ht="13.5" thickBot="1">
      <c r="A97" s="141"/>
      <c r="B97" s="191" t="s">
        <v>28</v>
      </c>
      <c r="C97" s="192"/>
      <c r="D97" s="192"/>
      <c r="E97" s="192"/>
      <c r="F97" s="193"/>
      <c r="G97" s="149">
        <f>IF(G96&lt;0,G89,G89+G96)</f>
        <v>27.7</v>
      </c>
      <c r="H97" s="147"/>
      <c r="I97" s="147"/>
      <c r="J97" s="148"/>
      <c r="K97" s="146">
        <v>0</v>
      </c>
      <c r="L97" s="147"/>
      <c r="M97" s="147"/>
      <c r="N97" s="148"/>
      <c r="O97" s="149">
        <f>IF(O96&lt;0,O89,O89+O96)</f>
        <v>22</v>
      </c>
      <c r="P97" s="147"/>
      <c r="Q97" s="147"/>
      <c r="R97" s="148"/>
      <c r="S97" s="146">
        <f>IF(S96&lt;0,S89,S89+S96)</f>
        <v>17.799999999999997</v>
      </c>
      <c r="T97" s="147"/>
      <c r="U97" s="147"/>
      <c r="V97" s="148"/>
      <c r="W97" s="150">
        <f t="shared" si="4"/>
        <v>67.5</v>
      </c>
      <c r="X97" s="151"/>
      <c r="Y97" s="151"/>
      <c r="Z97" s="152"/>
      <c r="AA97" s="101">
        <f>IF($AI93&gt;0,IF(AA93&gt;=0,0,G86*($T$2+$T$3+$T$5)/100-AA93),IF(G86&lt;G85,G86*($T$2+$T$3+$T$5)/100,AA93))</f>
        <v>0</v>
      </c>
      <c r="AB97" s="101"/>
      <c r="AC97" s="101">
        <f>IF($AI93&gt;=0,IF(AC93&gt;=0,0,K86*($T$2+$T$3+$T$4+$T$5)/100-AC93),IF(AC93&lt;0,K86*($T$2+$T$3+$T$4+$T$5)/100,AC93))</f>
        <v>0</v>
      </c>
      <c r="AD97" s="101"/>
      <c r="AE97" s="101">
        <f>IF($AI93&gt;=0,IF(AE93&gt;=0,0,O86*($T$2+$T$3+$T$4+$T$5)/100-AE93),IF(AE93&lt;0,O86*($T$2+$T$3+$T$4+$T$5)/100,AE93))</f>
        <v>0</v>
      </c>
      <c r="AF97" s="101"/>
      <c r="AG97" s="101">
        <f>IF($AI93&gt;=0,IF(AG93&gt;=0,0,S86*($T$2+$T$3+$T$4+$T$5)/100-AG93),IF(AG93&lt;0,S86*($T$2+$T$3+$T$4+$T$5)/100,AG93))</f>
        <v>0</v>
      </c>
      <c r="AH97" s="101"/>
      <c r="AI97" s="97">
        <f>SUM(AA97:AH97)</f>
        <v>0</v>
      </c>
      <c r="AJ97" s="98"/>
      <c r="AK97" s="98"/>
      <c r="AL97" s="2" t="s">
        <v>218</v>
      </c>
    </row>
    <row r="98" spans="1:35" ht="12.75" customHeight="1">
      <c r="A98" s="140" t="s">
        <v>68</v>
      </c>
      <c r="B98" s="93" t="s">
        <v>23</v>
      </c>
      <c r="C98" s="94"/>
      <c r="D98" s="94"/>
      <c r="E98" s="94"/>
      <c r="F98" s="199"/>
      <c r="G98" s="185">
        <v>1120</v>
      </c>
      <c r="H98" s="183"/>
      <c r="I98" s="183"/>
      <c r="J98" s="184"/>
      <c r="K98" s="182">
        <v>1400</v>
      </c>
      <c r="L98" s="183"/>
      <c r="M98" s="183"/>
      <c r="N98" s="184"/>
      <c r="O98" s="185">
        <v>1200</v>
      </c>
      <c r="P98" s="183"/>
      <c r="Q98" s="183"/>
      <c r="R98" s="184"/>
      <c r="S98" s="182">
        <v>1000</v>
      </c>
      <c r="T98" s="183"/>
      <c r="U98" s="183"/>
      <c r="V98" s="184"/>
      <c r="W98" s="170">
        <f t="shared" si="4"/>
        <v>4720</v>
      </c>
      <c r="X98" s="171"/>
      <c r="Y98" s="171"/>
      <c r="Z98" s="172"/>
      <c r="AA98" s="93" t="s">
        <v>53</v>
      </c>
      <c r="AB98" s="94"/>
      <c r="AC98" s="94"/>
      <c r="AD98" s="94"/>
      <c r="AE98" s="94"/>
      <c r="AF98" s="94"/>
      <c r="AG98" s="173">
        <f>(W103+$N$2*AG104)/W98*100+$Q$2+$T$2+$T$3+$T$5</f>
        <v>3.8728813559322033</v>
      </c>
      <c r="AH98" s="174"/>
      <c r="AI98" s="175"/>
    </row>
    <row r="99" spans="1:36" ht="12.75">
      <c r="A99" s="141"/>
      <c r="B99" s="125" t="s">
        <v>24</v>
      </c>
      <c r="C99" s="126"/>
      <c r="D99" s="126"/>
      <c r="E99" s="126"/>
      <c r="F99" s="161"/>
      <c r="G99" s="179">
        <v>1120</v>
      </c>
      <c r="H99" s="177"/>
      <c r="I99" s="177"/>
      <c r="J99" s="178"/>
      <c r="K99" s="176">
        <v>1400</v>
      </c>
      <c r="L99" s="177"/>
      <c r="M99" s="177"/>
      <c r="N99" s="178"/>
      <c r="O99" s="179">
        <v>1200</v>
      </c>
      <c r="P99" s="177"/>
      <c r="Q99" s="177"/>
      <c r="R99" s="178"/>
      <c r="S99" s="176">
        <v>1000</v>
      </c>
      <c r="T99" s="177"/>
      <c r="U99" s="177"/>
      <c r="V99" s="178"/>
      <c r="W99" s="153">
        <f t="shared" si="4"/>
        <v>4720</v>
      </c>
      <c r="X99" s="154"/>
      <c r="Y99" s="154"/>
      <c r="Z99" s="155"/>
      <c r="AA99" s="125" t="s">
        <v>54</v>
      </c>
      <c r="AB99" s="126"/>
      <c r="AC99" s="126"/>
      <c r="AD99" s="126"/>
      <c r="AE99" s="126"/>
      <c r="AF99" s="126"/>
      <c r="AG99" s="180">
        <f>(AG98-$L$2)*W98/100</f>
        <v>12.631578947368421</v>
      </c>
      <c r="AH99" s="180"/>
      <c r="AI99" s="181"/>
      <c r="AJ99" s="2" t="s">
        <v>284</v>
      </c>
    </row>
    <row r="100" spans="1:43" ht="12.75">
      <c r="A100" s="141"/>
      <c r="B100" s="125" t="s">
        <v>29</v>
      </c>
      <c r="C100" s="126"/>
      <c r="D100" s="126"/>
      <c r="E100" s="126"/>
      <c r="F100" s="161"/>
      <c r="G100" s="156">
        <f>IF(G98&lt;=G99,$N$2+G99/100*($Q$2+$T$2)+$AI107/$AG104+$AI109+IF(AI106&gt;0,AI106,0),$N$2+G99/100*$Q$2+$AI107/$AG104+$AI109+IF(AI106&gt;0,AI106,0))</f>
        <v>28.4</v>
      </c>
      <c r="H100" s="157"/>
      <c r="I100" s="157"/>
      <c r="J100" s="158"/>
      <c r="K100" s="156">
        <f>IF(K98&lt;=K99,$N$2+K99/100*($Q$2+$T$2)+$AI107/$AG104+$AI109,$N$2+K99/100*$Q$2+$AI107/$AG104+$AI109)</f>
        <v>27.599999999999998</v>
      </c>
      <c r="L100" s="157"/>
      <c r="M100" s="157"/>
      <c r="N100" s="158"/>
      <c r="O100" s="156">
        <f>IF(O98&lt;=O99,$N$2+O99/100*($Q$2+$T$2)+$AI107/$AG104+$AI109,$N$2+O99/100*$Q$2+$AI107/$AG104+$AI109)</f>
        <v>24.799999999999997</v>
      </c>
      <c r="P100" s="157"/>
      <c r="Q100" s="157"/>
      <c r="R100" s="158"/>
      <c r="S100" s="156">
        <f>IF(S98&lt;=S99,$N$2+S99/100*($Q$2+$T$2)+$AI107/$AG104+$AI109,$N$2+S99/100*$Q$2+$AI107/$AG104+$AI109)</f>
        <v>22</v>
      </c>
      <c r="T100" s="157"/>
      <c r="U100" s="157"/>
      <c r="V100" s="158"/>
      <c r="W100" s="153">
        <f t="shared" si="4"/>
        <v>102.8</v>
      </c>
      <c r="X100" s="154"/>
      <c r="Y100" s="154"/>
      <c r="Z100" s="155"/>
      <c r="AA100" s="205" t="s">
        <v>55</v>
      </c>
      <c r="AB100" s="126"/>
      <c r="AC100" s="126"/>
      <c r="AD100" s="126"/>
      <c r="AE100" s="126"/>
      <c r="AF100" s="126"/>
      <c r="AG100" s="122">
        <f>SUM(AJ101:AQ101)+AG99</f>
        <v>12.631578947368421</v>
      </c>
      <c r="AH100" s="123"/>
      <c r="AI100" s="124"/>
      <c r="AJ100" s="225">
        <f>$N$2+G98*($Q$2+$T$2+$T$3/$AG104)/100+$T$5*$W98/100</f>
        <v>28.4</v>
      </c>
      <c r="AK100" s="226"/>
      <c r="AL100" s="225">
        <f>$N$2+K98*($Q$2+$T$2+$T$3/$AG104)/100</f>
        <v>27.599999999999998</v>
      </c>
      <c r="AM100" s="226"/>
      <c r="AN100" s="225">
        <f>$N$2+O98*($Q$2+$T$2+$T$3/$AG104)/100</f>
        <v>24.8</v>
      </c>
      <c r="AO100" s="226"/>
      <c r="AP100" s="225">
        <f>$N$2+S98*($Q$2+$T$2+$T$3/$AG104)/100</f>
        <v>22</v>
      </c>
      <c r="AQ100" s="226"/>
    </row>
    <row r="101" spans="1:43" ht="12.75">
      <c r="A101" s="141"/>
      <c r="B101" s="125" t="s">
        <v>10</v>
      </c>
      <c r="C101" s="126"/>
      <c r="D101" s="126"/>
      <c r="E101" s="126"/>
      <c r="F101" s="161"/>
      <c r="G101" s="169">
        <v>8</v>
      </c>
      <c r="H101" s="167"/>
      <c r="I101" s="167"/>
      <c r="J101" s="168"/>
      <c r="K101" s="166">
        <v>8</v>
      </c>
      <c r="L101" s="167"/>
      <c r="M101" s="167"/>
      <c r="N101" s="168"/>
      <c r="O101" s="169">
        <v>8</v>
      </c>
      <c r="P101" s="167"/>
      <c r="Q101" s="167"/>
      <c r="R101" s="168"/>
      <c r="S101" s="166">
        <v>8</v>
      </c>
      <c r="T101" s="167"/>
      <c r="U101" s="167"/>
      <c r="V101" s="168"/>
      <c r="W101" s="153">
        <f t="shared" si="4"/>
        <v>32</v>
      </c>
      <c r="X101" s="154"/>
      <c r="Y101" s="154"/>
      <c r="Z101" s="155"/>
      <c r="AA101" s="205" t="s">
        <v>56</v>
      </c>
      <c r="AB101" s="126"/>
      <c r="AC101" s="126"/>
      <c r="AD101" s="126"/>
      <c r="AE101" s="126"/>
      <c r="AF101" s="126"/>
      <c r="AG101" s="134">
        <f>W108+AG100</f>
        <v>0</v>
      </c>
      <c r="AH101" s="134"/>
      <c r="AI101" s="135"/>
      <c r="AJ101" s="225">
        <f>IF(AJ100&gt;G101,0,G101-AJ100)</f>
        <v>0</v>
      </c>
      <c r="AK101" s="226"/>
      <c r="AL101" s="225">
        <f>IF(AL100&gt;K101,0,K101-AL100)</f>
        <v>0</v>
      </c>
      <c r="AM101" s="226"/>
      <c r="AN101" s="225">
        <f>IF(AN100&gt;O101,0,O101-AN100)</f>
        <v>0</v>
      </c>
      <c r="AO101" s="226"/>
      <c r="AP101" s="225">
        <f>IF(AP100&gt;S101,0,S101-AP100)</f>
        <v>0</v>
      </c>
      <c r="AQ101" s="226"/>
    </row>
    <row r="102" spans="1:35" ht="13.5" thickBot="1">
      <c r="A102" s="141"/>
      <c r="B102" s="125" t="s">
        <v>58</v>
      </c>
      <c r="C102" s="126"/>
      <c r="D102" s="126"/>
      <c r="E102" s="126"/>
      <c r="F102" s="161"/>
      <c r="G102" s="156">
        <f>IF(G100&lt;G101,G101,G100)</f>
        <v>28.4</v>
      </c>
      <c r="H102" s="157"/>
      <c r="I102" s="157"/>
      <c r="J102" s="158"/>
      <c r="K102" s="156">
        <f>IF(K100&lt;K101,K101,K100)</f>
        <v>27.599999999999998</v>
      </c>
      <c r="L102" s="157"/>
      <c r="M102" s="157"/>
      <c r="N102" s="158"/>
      <c r="O102" s="156">
        <f>IF(O100&lt;O101,O101,O100)</f>
        <v>24.799999999999997</v>
      </c>
      <c r="P102" s="157"/>
      <c r="Q102" s="157"/>
      <c r="R102" s="158"/>
      <c r="S102" s="156">
        <f>IF(S100&lt;S101,S101,S100)</f>
        <v>22</v>
      </c>
      <c r="T102" s="157"/>
      <c r="U102" s="157"/>
      <c r="V102" s="158"/>
      <c r="W102" s="153">
        <f t="shared" si="4"/>
        <v>102.8</v>
      </c>
      <c r="X102" s="154"/>
      <c r="Y102" s="154"/>
      <c r="Z102" s="155"/>
      <c r="AA102" s="232" t="s">
        <v>57</v>
      </c>
      <c r="AB102" s="90"/>
      <c r="AC102" s="90"/>
      <c r="AD102" s="90"/>
      <c r="AE102" s="90"/>
      <c r="AF102" s="90"/>
      <c r="AG102" s="91">
        <f>-AG100+AG101-W109</f>
        <v>-12.631578947368421</v>
      </c>
      <c r="AH102" s="91"/>
      <c r="AI102" s="85"/>
    </row>
    <row r="103" spans="1:35" ht="13.5" thickBot="1">
      <c r="A103" s="141"/>
      <c r="B103" s="125" t="s">
        <v>41</v>
      </c>
      <c r="C103" s="126"/>
      <c r="D103" s="126"/>
      <c r="E103" s="126"/>
      <c r="F103" s="161"/>
      <c r="G103" s="156">
        <v>20</v>
      </c>
      <c r="H103" s="157"/>
      <c r="I103" s="157"/>
      <c r="J103" s="158"/>
      <c r="K103" s="156">
        <v>20</v>
      </c>
      <c r="L103" s="157"/>
      <c r="M103" s="157"/>
      <c r="N103" s="158"/>
      <c r="O103" s="156">
        <v>20</v>
      </c>
      <c r="P103" s="157"/>
      <c r="Q103" s="157"/>
      <c r="R103" s="158"/>
      <c r="S103" s="156">
        <v>20</v>
      </c>
      <c r="T103" s="157"/>
      <c r="U103" s="157"/>
      <c r="V103" s="158"/>
      <c r="W103" s="153">
        <f t="shared" si="4"/>
        <v>80</v>
      </c>
      <c r="X103" s="154"/>
      <c r="Y103" s="154"/>
      <c r="Z103" s="155"/>
      <c r="AA103" s="230" t="s">
        <v>59</v>
      </c>
      <c r="AB103" s="231"/>
      <c r="AC103" s="231"/>
      <c r="AD103" s="231"/>
      <c r="AE103" s="231"/>
      <c r="AF103" s="231"/>
      <c r="AG103" s="88">
        <f>AG100+AG102</f>
        <v>0</v>
      </c>
      <c r="AH103" s="89"/>
      <c r="AI103" s="84"/>
    </row>
    <row r="104" spans="1:35" ht="12.75">
      <c r="A104" s="141"/>
      <c r="B104" s="125" t="s">
        <v>42</v>
      </c>
      <c r="C104" s="126"/>
      <c r="D104" s="126"/>
      <c r="E104" s="126"/>
      <c r="F104" s="161"/>
      <c r="G104" s="169">
        <v>20</v>
      </c>
      <c r="H104" s="167"/>
      <c r="I104" s="167"/>
      <c r="J104" s="168"/>
      <c r="K104" s="166">
        <v>20</v>
      </c>
      <c r="L104" s="167"/>
      <c r="M104" s="167"/>
      <c r="N104" s="168"/>
      <c r="O104" s="169">
        <v>20</v>
      </c>
      <c r="P104" s="167"/>
      <c r="Q104" s="167"/>
      <c r="R104" s="168"/>
      <c r="S104" s="166">
        <v>20</v>
      </c>
      <c r="T104" s="167"/>
      <c r="U104" s="167"/>
      <c r="V104" s="168"/>
      <c r="W104" s="153">
        <f t="shared" si="4"/>
        <v>80</v>
      </c>
      <c r="X104" s="154"/>
      <c r="Y104" s="154"/>
      <c r="Z104" s="155"/>
      <c r="AA104" s="228" t="s">
        <v>279</v>
      </c>
      <c r="AB104" s="229"/>
      <c r="AC104" s="229"/>
      <c r="AD104" s="229"/>
      <c r="AE104" s="229"/>
      <c r="AF104" s="229"/>
      <c r="AG104" s="95">
        <v>4</v>
      </c>
      <c r="AH104" s="95"/>
      <c r="AI104" s="95"/>
    </row>
    <row r="105" spans="1:35" ht="12.75">
      <c r="A105" s="141"/>
      <c r="B105" s="125" t="s">
        <v>43</v>
      </c>
      <c r="C105" s="126"/>
      <c r="D105" s="126"/>
      <c r="E105" s="126"/>
      <c r="F105" s="161"/>
      <c r="G105" s="165">
        <f>G103-G104</f>
        <v>0</v>
      </c>
      <c r="H105" s="163"/>
      <c r="I105" s="163"/>
      <c r="J105" s="164"/>
      <c r="K105" s="165">
        <f>K103-K104</f>
        <v>0</v>
      </c>
      <c r="L105" s="163"/>
      <c r="M105" s="163"/>
      <c r="N105" s="164"/>
      <c r="O105" s="165">
        <f>O103-O104</f>
        <v>0</v>
      </c>
      <c r="P105" s="163"/>
      <c r="Q105" s="163"/>
      <c r="R105" s="164"/>
      <c r="S105" s="165">
        <f>S103-S104</f>
        <v>0</v>
      </c>
      <c r="T105" s="163"/>
      <c r="U105" s="163"/>
      <c r="V105" s="164"/>
      <c r="W105" s="153">
        <f t="shared" si="4"/>
        <v>0</v>
      </c>
      <c r="X105" s="154"/>
      <c r="Y105" s="154"/>
      <c r="Z105" s="155"/>
      <c r="AA105" s="132">
        <f>W99*$L$2/100-AI110</f>
        <v>170.16842105263157</v>
      </c>
      <c r="AB105" s="233"/>
      <c r="AC105" s="233"/>
      <c r="AD105" s="233"/>
      <c r="AE105" s="233"/>
      <c r="AF105" s="233"/>
      <c r="AG105" s="233"/>
      <c r="AH105" s="233"/>
      <c r="AI105" s="233"/>
    </row>
    <row r="106" spans="1:38" ht="12.75">
      <c r="A106" s="141"/>
      <c r="B106" s="125" t="s">
        <v>30</v>
      </c>
      <c r="C106" s="126"/>
      <c r="D106" s="126"/>
      <c r="E106" s="126"/>
      <c r="F106" s="161"/>
      <c r="G106" s="156">
        <f>G99*$L$2/100-AA110</f>
        <v>40.37894736842105</v>
      </c>
      <c r="H106" s="157"/>
      <c r="I106" s="157"/>
      <c r="J106" s="158"/>
      <c r="K106" s="156">
        <f>K99*$L$2/100-AC110</f>
        <v>50.473684210526315</v>
      </c>
      <c r="L106" s="157"/>
      <c r="M106" s="157"/>
      <c r="N106" s="158"/>
      <c r="O106" s="156">
        <f>O99*$L$2/100-AE110</f>
        <v>43.26315789473684</v>
      </c>
      <c r="P106" s="157"/>
      <c r="Q106" s="157"/>
      <c r="R106" s="158"/>
      <c r="S106" s="156">
        <f>S99*$L$2/100-AG110</f>
        <v>36.05263157894737</v>
      </c>
      <c r="T106" s="157"/>
      <c r="U106" s="157"/>
      <c r="V106" s="158"/>
      <c r="W106" s="153">
        <f t="shared" si="4"/>
        <v>170.16842105263157</v>
      </c>
      <c r="X106" s="154"/>
      <c r="Y106" s="154"/>
      <c r="Z106" s="155"/>
      <c r="AA106" s="101">
        <f>IF(G99&lt;G98,$T$5*(G99-G98)*$L$3/100,$T$5*G99/100)</f>
        <v>1.12</v>
      </c>
      <c r="AB106" s="101"/>
      <c r="AC106" s="101">
        <f>IF(K99&lt;K98,$T$5*(K99-K98)*$L$3/100,$T$5*K99/100)</f>
        <v>1.4</v>
      </c>
      <c r="AD106" s="101"/>
      <c r="AE106" s="101">
        <f>IF(O99&lt;O98,$T$5*(O99-O98)*$L$3/100,$T$5*O99/100)</f>
        <v>1.2</v>
      </c>
      <c r="AF106" s="101"/>
      <c r="AG106" s="101">
        <f>IF(S99&lt;S98,$T$5*(S99-S98)*$L$3/100,$T$5*S99/100)</f>
        <v>1</v>
      </c>
      <c r="AH106" s="101"/>
      <c r="AI106" s="97">
        <f>SUM(AA106:AH106)</f>
        <v>4.72</v>
      </c>
      <c r="AJ106" s="98"/>
      <c r="AK106" s="98"/>
      <c r="AL106" s="2" t="s">
        <v>277</v>
      </c>
    </row>
    <row r="107" spans="1:38" ht="12.75">
      <c r="A107" s="141"/>
      <c r="B107" s="125" t="s">
        <v>283</v>
      </c>
      <c r="C107" s="126"/>
      <c r="D107" s="126"/>
      <c r="E107" s="126"/>
      <c r="F107" s="161"/>
      <c r="G107" s="156">
        <f>G106-G103-G102+$AI109</f>
        <v>-8.021052631578947</v>
      </c>
      <c r="H107" s="157"/>
      <c r="I107" s="157"/>
      <c r="J107" s="158"/>
      <c r="K107" s="156">
        <f>K106-K103-K102+$AI109</f>
        <v>2.873684210526317</v>
      </c>
      <c r="L107" s="157"/>
      <c r="M107" s="157"/>
      <c r="N107" s="158"/>
      <c r="O107" s="156">
        <f>O106-O103-O102+$AI109</f>
        <v>-1.5368421052631547</v>
      </c>
      <c r="P107" s="157"/>
      <c r="Q107" s="157"/>
      <c r="R107" s="158"/>
      <c r="S107" s="156">
        <f>S106-S103-S102+$AI109</f>
        <v>-5.94736842105263</v>
      </c>
      <c r="T107" s="157"/>
      <c r="U107" s="157"/>
      <c r="V107" s="158"/>
      <c r="W107" s="153">
        <f t="shared" si="4"/>
        <v>-12.631578947368414</v>
      </c>
      <c r="X107" s="154"/>
      <c r="Y107" s="154"/>
      <c r="Z107" s="159"/>
      <c r="AA107" s="101">
        <f>IF(G99&lt;G98,0,$T$3*G99/100)</f>
        <v>0</v>
      </c>
      <c r="AB107" s="101"/>
      <c r="AC107" s="101">
        <f>IF(K99&lt;K98,0,$T$3*K99/100)</f>
        <v>0</v>
      </c>
      <c r="AD107" s="101"/>
      <c r="AE107" s="101">
        <f>IF(O99&lt;O98,0,$T$3*O99/100)</f>
        <v>0</v>
      </c>
      <c r="AF107" s="101"/>
      <c r="AG107" s="101">
        <f>IF(S99&lt;S98,0,$T$3*S99/100)</f>
        <v>0</v>
      </c>
      <c r="AH107" s="101"/>
      <c r="AI107" s="97">
        <f>SUM(AA107:AH107)</f>
        <v>0</v>
      </c>
      <c r="AJ107" s="98"/>
      <c r="AK107" s="98"/>
      <c r="AL107" s="2" t="s">
        <v>248</v>
      </c>
    </row>
    <row r="108" spans="1:38" ht="12.75">
      <c r="A108" s="141"/>
      <c r="B108" s="125" t="s">
        <v>45</v>
      </c>
      <c r="C108" s="126"/>
      <c r="D108" s="126"/>
      <c r="E108" s="126"/>
      <c r="F108" s="161"/>
      <c r="G108" s="156">
        <f>G107+G105</f>
        <v>-8.021052631578947</v>
      </c>
      <c r="H108" s="157"/>
      <c r="I108" s="157"/>
      <c r="J108" s="158"/>
      <c r="K108" s="156">
        <f>K107+K105</f>
        <v>2.873684210526317</v>
      </c>
      <c r="L108" s="157"/>
      <c r="M108" s="157"/>
      <c r="N108" s="158"/>
      <c r="O108" s="156">
        <f>O107+O105</f>
        <v>-1.5368421052631547</v>
      </c>
      <c r="P108" s="157"/>
      <c r="Q108" s="157"/>
      <c r="R108" s="158"/>
      <c r="S108" s="156">
        <f>S107+S105</f>
        <v>-5.94736842105263</v>
      </c>
      <c r="T108" s="157"/>
      <c r="U108" s="157"/>
      <c r="V108" s="158"/>
      <c r="W108" s="153">
        <f t="shared" si="4"/>
        <v>-12.631578947368414</v>
      </c>
      <c r="X108" s="154"/>
      <c r="Y108" s="154"/>
      <c r="Z108" s="155"/>
      <c r="AA108" s="101">
        <f>IF(G99&lt;G98,0,$T$4*G99/100)</f>
        <v>0</v>
      </c>
      <c r="AB108" s="101"/>
      <c r="AC108" s="101">
        <f>IF(K99&lt;K98,0,$T$4*K99/100)</f>
        <v>0</v>
      </c>
      <c r="AD108" s="101"/>
      <c r="AE108" s="101">
        <f>IF(O99&lt;O98,0,$T$4*O99/100)</f>
        <v>0</v>
      </c>
      <c r="AF108" s="101"/>
      <c r="AG108" s="101">
        <f>IF(S99&lt;S98,0,$T$4*S99/100)</f>
        <v>0</v>
      </c>
      <c r="AH108" s="101"/>
      <c r="AI108" s="97">
        <f>SUM(AA108:AH108)</f>
        <v>0</v>
      </c>
      <c r="AJ108" s="98"/>
      <c r="AK108" s="98"/>
      <c r="AL108" s="2" t="s">
        <v>281</v>
      </c>
    </row>
    <row r="109" spans="1:38" ht="12.75">
      <c r="A109" s="141"/>
      <c r="B109" s="194" t="s">
        <v>26</v>
      </c>
      <c r="C109" s="98"/>
      <c r="D109" s="98"/>
      <c r="E109" s="98"/>
      <c r="F109" s="195"/>
      <c r="G109" s="196">
        <f>$AG101/100*$AL$3</f>
        <v>0</v>
      </c>
      <c r="H109" s="197"/>
      <c r="I109" s="197"/>
      <c r="J109" s="198"/>
      <c r="K109" s="196">
        <f>$AG101/100*$AL$3</f>
        <v>0</v>
      </c>
      <c r="L109" s="197"/>
      <c r="M109" s="197"/>
      <c r="N109" s="198"/>
      <c r="O109" s="196">
        <f>$AG101/100*$AL$3</f>
        <v>0</v>
      </c>
      <c r="P109" s="197"/>
      <c r="Q109" s="197"/>
      <c r="R109" s="198"/>
      <c r="S109" s="196">
        <f>$AG101/100*$AL$3</f>
        <v>0</v>
      </c>
      <c r="T109" s="197"/>
      <c r="U109" s="197"/>
      <c r="V109" s="198"/>
      <c r="W109" s="153">
        <f t="shared" si="4"/>
        <v>0</v>
      </c>
      <c r="X109" s="154"/>
      <c r="Y109" s="154"/>
      <c r="Z109" s="155"/>
      <c r="AI109" s="224">
        <f>'ЦФУ Продажи'!AB$59</f>
        <v>0</v>
      </c>
      <c r="AJ109" s="224"/>
      <c r="AK109" s="224"/>
      <c r="AL109" s="2" t="s">
        <v>280</v>
      </c>
    </row>
    <row r="110" spans="1:38" ht="13.5" thickBot="1">
      <c r="A110" s="142"/>
      <c r="B110" s="191" t="s">
        <v>28</v>
      </c>
      <c r="C110" s="192"/>
      <c r="D110" s="192"/>
      <c r="E110" s="192"/>
      <c r="F110" s="193"/>
      <c r="G110" s="149">
        <f>IF(G109&lt;0,G102,G102+G109)</f>
        <v>28.4</v>
      </c>
      <c r="H110" s="147"/>
      <c r="I110" s="147"/>
      <c r="J110" s="148"/>
      <c r="K110" s="146">
        <v>0</v>
      </c>
      <c r="L110" s="147"/>
      <c r="M110" s="147"/>
      <c r="N110" s="148"/>
      <c r="O110" s="149">
        <f>IF(O109&lt;0,O102,O102+O109)</f>
        <v>24.799999999999997</v>
      </c>
      <c r="P110" s="147"/>
      <c r="Q110" s="147"/>
      <c r="R110" s="148"/>
      <c r="S110" s="146">
        <f>IF(S109&lt;0,S102,S102+S109)</f>
        <v>22</v>
      </c>
      <c r="T110" s="147"/>
      <c r="U110" s="147"/>
      <c r="V110" s="148"/>
      <c r="W110" s="150">
        <f t="shared" si="4"/>
        <v>75.19999999999999</v>
      </c>
      <c r="X110" s="151"/>
      <c r="Y110" s="151"/>
      <c r="Z110" s="152"/>
      <c r="AA110" s="101">
        <f>IF($AI106&gt;0,IF(AA106&gt;=0,0,G99*($T$2+$T$3+$T$5)/100-AA106),IF(G99&lt;G98,G99*($T$2+$T$3+$T$5)/100,AA106))</f>
        <v>0</v>
      </c>
      <c r="AB110" s="101"/>
      <c r="AC110" s="101">
        <f>IF($AI106&gt;=0,IF(AC106&gt;=0,0,K99*($T$2+$T$3+$T$4+$T$5)/100-AC106),IF(AC106&lt;0,K99*($T$2+$T$3+$T$4+$T$5)/100,AC106))</f>
        <v>0</v>
      </c>
      <c r="AD110" s="101"/>
      <c r="AE110" s="101">
        <f>IF($AI106&gt;=0,IF(AE106&gt;=0,0,O99*($T$2+$T$3+$T$4+$T$5)/100-AE106),IF(AE106&lt;0,O99*($T$2+$T$3+$T$4+$T$5)/100,AE106))</f>
        <v>0</v>
      </c>
      <c r="AF110" s="101"/>
      <c r="AG110" s="101">
        <f>IF($AI106&gt;=0,IF(AG106&gt;=0,0,S99*($T$2+$T$3+$T$4+$T$5)/100-AG106),IF(AG106&lt;0,S99*($T$2+$T$3+$T$4+$T$5)/100,AG106))</f>
        <v>0</v>
      </c>
      <c r="AH110" s="101"/>
      <c r="AI110" s="97">
        <f>SUM(AA110:AH110)</f>
        <v>0</v>
      </c>
      <c r="AJ110" s="98"/>
      <c r="AK110" s="98"/>
      <c r="AL110" s="2" t="s">
        <v>218</v>
      </c>
    </row>
    <row r="111" spans="1:35" ht="12.75" customHeight="1">
      <c r="A111" s="143" t="s">
        <v>69</v>
      </c>
      <c r="B111" s="93" t="s">
        <v>23</v>
      </c>
      <c r="C111" s="94"/>
      <c r="D111" s="94"/>
      <c r="E111" s="94"/>
      <c r="F111" s="199"/>
      <c r="G111" s="185">
        <v>1120</v>
      </c>
      <c r="H111" s="183"/>
      <c r="I111" s="183"/>
      <c r="J111" s="184"/>
      <c r="K111" s="182">
        <v>1400</v>
      </c>
      <c r="L111" s="183"/>
      <c r="M111" s="183"/>
      <c r="N111" s="184"/>
      <c r="O111" s="185">
        <v>1400</v>
      </c>
      <c r="P111" s="183"/>
      <c r="Q111" s="183"/>
      <c r="R111" s="184"/>
      <c r="S111" s="182">
        <v>1200</v>
      </c>
      <c r="T111" s="183"/>
      <c r="U111" s="183"/>
      <c r="V111" s="184"/>
      <c r="W111" s="170">
        <f aca="true" t="shared" si="5" ref="W111:W136">G111+K111+O111+S111</f>
        <v>5120</v>
      </c>
      <c r="X111" s="171"/>
      <c r="Y111" s="171"/>
      <c r="Z111" s="172"/>
      <c r="AA111" s="93" t="s">
        <v>53</v>
      </c>
      <c r="AB111" s="94"/>
      <c r="AC111" s="94"/>
      <c r="AD111" s="94"/>
      <c r="AE111" s="94"/>
      <c r="AF111" s="94"/>
      <c r="AG111" s="173">
        <f>(W116+$N$2*AG117)/W111*100+$Q$2+$T$2+$T$3+$T$5</f>
        <v>3.6875</v>
      </c>
      <c r="AH111" s="174"/>
      <c r="AI111" s="175"/>
    </row>
    <row r="112" spans="1:36" ht="12.75">
      <c r="A112" s="144"/>
      <c r="B112" s="125" t="s">
        <v>24</v>
      </c>
      <c r="C112" s="126"/>
      <c r="D112" s="126"/>
      <c r="E112" s="126"/>
      <c r="F112" s="161"/>
      <c r="G112" s="179">
        <v>1120</v>
      </c>
      <c r="H112" s="177"/>
      <c r="I112" s="177"/>
      <c r="J112" s="178"/>
      <c r="K112" s="176">
        <v>1400</v>
      </c>
      <c r="L112" s="177"/>
      <c r="M112" s="177"/>
      <c r="N112" s="178"/>
      <c r="O112" s="179">
        <v>1400</v>
      </c>
      <c r="P112" s="177"/>
      <c r="Q112" s="177"/>
      <c r="R112" s="178"/>
      <c r="S112" s="176">
        <v>1200</v>
      </c>
      <c r="T112" s="177"/>
      <c r="U112" s="177"/>
      <c r="V112" s="178"/>
      <c r="W112" s="153">
        <f t="shared" si="5"/>
        <v>5120</v>
      </c>
      <c r="X112" s="154"/>
      <c r="Y112" s="154"/>
      <c r="Z112" s="155"/>
      <c r="AA112" s="125" t="s">
        <v>54</v>
      </c>
      <c r="AB112" s="126"/>
      <c r="AC112" s="126"/>
      <c r="AD112" s="126"/>
      <c r="AE112" s="126"/>
      <c r="AF112" s="126"/>
      <c r="AG112" s="180">
        <f>(AG111-$L$2)*W111/100</f>
        <v>4.21052631578948</v>
      </c>
      <c r="AH112" s="180"/>
      <c r="AI112" s="181"/>
      <c r="AJ112" s="2" t="s">
        <v>284</v>
      </c>
    </row>
    <row r="113" spans="1:43" ht="12.75">
      <c r="A113" s="144"/>
      <c r="B113" s="125" t="s">
        <v>29</v>
      </c>
      <c r="C113" s="126"/>
      <c r="D113" s="126"/>
      <c r="E113" s="126"/>
      <c r="F113" s="161"/>
      <c r="G113" s="156">
        <f>IF(G111&lt;=G112,$N$2+G112/100*($Q$2+$T$2)+$AI120/$AG117+$AI122+IF(AI119&gt;0,AI119,0),$N$2+G112/100*$Q$2+$AI120/$AG117+$AI122+IF(AI119&gt;0,AI119,0))</f>
        <v>28.8</v>
      </c>
      <c r="H113" s="157"/>
      <c r="I113" s="157"/>
      <c r="J113" s="158"/>
      <c r="K113" s="156">
        <f>IF(K111&lt;=K112,$N$2+K112/100*($Q$2+$T$2)+$AI120/$AG117+$AI122,$N$2+K112/100*$Q$2+$AI120/$AG117+$AI122)</f>
        <v>27.599999999999998</v>
      </c>
      <c r="L113" s="157"/>
      <c r="M113" s="157"/>
      <c r="N113" s="158"/>
      <c r="O113" s="156">
        <f>IF(O111&lt;=O112,$N$2+O112/100*($Q$2+$T$2)+$AI120/$AG117+$AI122,$N$2+O112/100*$Q$2+$AI120/$AG117+$AI122)</f>
        <v>27.599999999999998</v>
      </c>
      <c r="P113" s="157"/>
      <c r="Q113" s="157"/>
      <c r="R113" s="158"/>
      <c r="S113" s="156">
        <f>IF(S111&lt;=S112,$N$2+S112/100*($Q$2+$T$2)+$AI120/$AG117+$AI122,$N$2+S112/100*$Q$2+$AI120/$AG117+$AI122)</f>
        <v>24.799999999999997</v>
      </c>
      <c r="T113" s="157"/>
      <c r="U113" s="157"/>
      <c r="V113" s="158"/>
      <c r="W113" s="153">
        <f t="shared" si="5"/>
        <v>108.8</v>
      </c>
      <c r="X113" s="154"/>
      <c r="Y113" s="154"/>
      <c r="Z113" s="155"/>
      <c r="AA113" s="205" t="s">
        <v>55</v>
      </c>
      <c r="AB113" s="126"/>
      <c r="AC113" s="126"/>
      <c r="AD113" s="126"/>
      <c r="AE113" s="126"/>
      <c r="AF113" s="126"/>
      <c r="AG113" s="122">
        <f>SUM(AJ114:AQ114)+AG112</f>
        <v>4.21052631578948</v>
      </c>
      <c r="AH113" s="123"/>
      <c r="AI113" s="124"/>
      <c r="AJ113" s="225">
        <f>$N$2+G111*($Q$2+$T$2+$T$3/$AG117)/100+$T$5*$W111/100</f>
        <v>28.8</v>
      </c>
      <c r="AK113" s="226"/>
      <c r="AL113" s="225">
        <f>$N$2+K111*($Q$2+$T$2+$T$3/$AG117)/100</f>
        <v>27.599999999999998</v>
      </c>
      <c r="AM113" s="226"/>
      <c r="AN113" s="225">
        <f>$N$2+O111*($Q$2+$T$2+$T$3/$AG117)/100</f>
        <v>27.599999999999998</v>
      </c>
      <c r="AO113" s="226"/>
      <c r="AP113" s="225">
        <f>$N$2+S111*($Q$2+$T$2+$T$3/$AG117)/100</f>
        <v>24.8</v>
      </c>
      <c r="AQ113" s="226"/>
    </row>
    <row r="114" spans="1:43" ht="12.75">
      <c r="A114" s="144"/>
      <c r="B114" s="125" t="s">
        <v>10</v>
      </c>
      <c r="C114" s="126"/>
      <c r="D114" s="126"/>
      <c r="E114" s="126"/>
      <c r="F114" s="161"/>
      <c r="G114" s="169">
        <v>8</v>
      </c>
      <c r="H114" s="167"/>
      <c r="I114" s="167"/>
      <c r="J114" s="168"/>
      <c r="K114" s="166">
        <v>8</v>
      </c>
      <c r="L114" s="167"/>
      <c r="M114" s="167"/>
      <c r="N114" s="168"/>
      <c r="O114" s="169">
        <v>8</v>
      </c>
      <c r="P114" s="167"/>
      <c r="Q114" s="167"/>
      <c r="R114" s="168"/>
      <c r="S114" s="166">
        <v>8</v>
      </c>
      <c r="T114" s="167"/>
      <c r="U114" s="167"/>
      <c r="V114" s="168"/>
      <c r="W114" s="153">
        <f t="shared" si="5"/>
        <v>32</v>
      </c>
      <c r="X114" s="154"/>
      <c r="Y114" s="154"/>
      <c r="Z114" s="155"/>
      <c r="AA114" s="205" t="s">
        <v>56</v>
      </c>
      <c r="AB114" s="126"/>
      <c r="AC114" s="126"/>
      <c r="AD114" s="126"/>
      <c r="AE114" s="126"/>
      <c r="AF114" s="126"/>
      <c r="AG114" s="134">
        <f>W121+AG113</f>
        <v>1.0658141036401503E-14</v>
      </c>
      <c r="AH114" s="134"/>
      <c r="AI114" s="135"/>
      <c r="AJ114" s="225">
        <f>IF(AJ113&gt;G114,0,G114-AJ113)</f>
        <v>0</v>
      </c>
      <c r="AK114" s="226"/>
      <c r="AL114" s="225">
        <f>IF(AL113&gt;K114,0,K114-AL113)</f>
        <v>0</v>
      </c>
      <c r="AM114" s="226"/>
      <c r="AN114" s="225">
        <f>IF(AN113&gt;O114,0,O114-AN113)</f>
        <v>0</v>
      </c>
      <c r="AO114" s="226"/>
      <c r="AP114" s="225">
        <f>IF(AP113&gt;S114,0,S114-AP113)</f>
        <v>0</v>
      </c>
      <c r="AQ114" s="226"/>
    </row>
    <row r="115" spans="1:35" ht="13.5" thickBot="1">
      <c r="A115" s="144"/>
      <c r="B115" s="125" t="s">
        <v>58</v>
      </c>
      <c r="C115" s="126"/>
      <c r="D115" s="126"/>
      <c r="E115" s="126"/>
      <c r="F115" s="161"/>
      <c r="G115" s="156">
        <f>IF(G113&lt;G114,G114,G113)</f>
        <v>28.8</v>
      </c>
      <c r="H115" s="157"/>
      <c r="I115" s="157"/>
      <c r="J115" s="158"/>
      <c r="K115" s="156">
        <f>IF(K113&lt;K114,K114,K113)</f>
        <v>27.599999999999998</v>
      </c>
      <c r="L115" s="157"/>
      <c r="M115" s="157"/>
      <c r="N115" s="158"/>
      <c r="O115" s="156">
        <f>IF(O113&lt;O114,O114,O113)</f>
        <v>27.599999999999998</v>
      </c>
      <c r="P115" s="157"/>
      <c r="Q115" s="157"/>
      <c r="R115" s="158"/>
      <c r="S115" s="156">
        <f>IF(S113&lt;S114,S114,S113)</f>
        <v>24.799999999999997</v>
      </c>
      <c r="T115" s="157"/>
      <c r="U115" s="157"/>
      <c r="V115" s="158"/>
      <c r="W115" s="153">
        <f t="shared" si="5"/>
        <v>108.8</v>
      </c>
      <c r="X115" s="154"/>
      <c r="Y115" s="154"/>
      <c r="Z115" s="155"/>
      <c r="AA115" s="232" t="s">
        <v>57</v>
      </c>
      <c r="AB115" s="90"/>
      <c r="AC115" s="90"/>
      <c r="AD115" s="90"/>
      <c r="AE115" s="90"/>
      <c r="AF115" s="90"/>
      <c r="AG115" s="91">
        <f>-AG113+AG114-W122</f>
        <v>-4.210526315789469</v>
      </c>
      <c r="AH115" s="91"/>
      <c r="AI115" s="85"/>
    </row>
    <row r="116" spans="1:35" ht="13.5" thickBot="1">
      <c r="A116" s="144"/>
      <c r="B116" s="125" t="s">
        <v>41</v>
      </c>
      <c r="C116" s="126"/>
      <c r="D116" s="126"/>
      <c r="E116" s="126"/>
      <c r="F116" s="161"/>
      <c r="G116" s="156">
        <v>20</v>
      </c>
      <c r="H116" s="157"/>
      <c r="I116" s="157"/>
      <c r="J116" s="158"/>
      <c r="K116" s="156">
        <v>20</v>
      </c>
      <c r="L116" s="157"/>
      <c r="M116" s="157"/>
      <c r="N116" s="158"/>
      <c r="O116" s="156">
        <v>20</v>
      </c>
      <c r="P116" s="157"/>
      <c r="Q116" s="157"/>
      <c r="R116" s="158"/>
      <c r="S116" s="156">
        <v>20</v>
      </c>
      <c r="T116" s="157"/>
      <c r="U116" s="157"/>
      <c r="V116" s="158"/>
      <c r="W116" s="153">
        <f t="shared" si="5"/>
        <v>80</v>
      </c>
      <c r="X116" s="154"/>
      <c r="Y116" s="154"/>
      <c r="Z116" s="155"/>
      <c r="AA116" s="230" t="s">
        <v>59</v>
      </c>
      <c r="AB116" s="231"/>
      <c r="AC116" s="231"/>
      <c r="AD116" s="231"/>
      <c r="AE116" s="231"/>
      <c r="AF116" s="231"/>
      <c r="AG116" s="88">
        <f>AG113+AG115</f>
        <v>1.0658141036401503E-14</v>
      </c>
      <c r="AH116" s="89"/>
      <c r="AI116" s="84"/>
    </row>
    <row r="117" spans="1:35" ht="12.75">
      <c r="A117" s="144"/>
      <c r="B117" s="125" t="s">
        <v>42</v>
      </c>
      <c r="C117" s="126"/>
      <c r="D117" s="126"/>
      <c r="E117" s="126"/>
      <c r="F117" s="161"/>
      <c r="G117" s="169">
        <v>20</v>
      </c>
      <c r="H117" s="167"/>
      <c r="I117" s="167"/>
      <c r="J117" s="168"/>
      <c r="K117" s="166">
        <v>20</v>
      </c>
      <c r="L117" s="167"/>
      <c r="M117" s="167"/>
      <c r="N117" s="168"/>
      <c r="O117" s="169">
        <v>20</v>
      </c>
      <c r="P117" s="167"/>
      <c r="Q117" s="167"/>
      <c r="R117" s="168"/>
      <c r="S117" s="166">
        <v>20</v>
      </c>
      <c r="T117" s="167"/>
      <c r="U117" s="167"/>
      <c r="V117" s="168"/>
      <c r="W117" s="153">
        <f t="shared" si="5"/>
        <v>80</v>
      </c>
      <c r="X117" s="154"/>
      <c r="Y117" s="154"/>
      <c r="Z117" s="155"/>
      <c r="AA117" s="228" t="s">
        <v>279</v>
      </c>
      <c r="AB117" s="229"/>
      <c r="AC117" s="229"/>
      <c r="AD117" s="229"/>
      <c r="AE117" s="229"/>
      <c r="AF117" s="229"/>
      <c r="AG117" s="95">
        <v>4</v>
      </c>
      <c r="AH117" s="95"/>
      <c r="AI117" s="95"/>
    </row>
    <row r="118" spans="1:35" ht="12.75">
      <c r="A118" s="144"/>
      <c r="B118" s="125" t="s">
        <v>43</v>
      </c>
      <c r="C118" s="126"/>
      <c r="D118" s="126"/>
      <c r="E118" s="126"/>
      <c r="F118" s="161"/>
      <c r="G118" s="165">
        <f>G116-G117</f>
        <v>0</v>
      </c>
      <c r="H118" s="163"/>
      <c r="I118" s="163"/>
      <c r="J118" s="164"/>
      <c r="K118" s="165">
        <f>K116-K117</f>
        <v>0</v>
      </c>
      <c r="L118" s="163"/>
      <c r="M118" s="163"/>
      <c r="N118" s="164"/>
      <c r="O118" s="165">
        <f>O116-O117</f>
        <v>0</v>
      </c>
      <c r="P118" s="163"/>
      <c r="Q118" s="163"/>
      <c r="R118" s="164"/>
      <c r="S118" s="165">
        <f>S116-S117</f>
        <v>0</v>
      </c>
      <c r="T118" s="163"/>
      <c r="U118" s="163"/>
      <c r="V118" s="164"/>
      <c r="W118" s="153">
        <f t="shared" si="5"/>
        <v>0</v>
      </c>
      <c r="X118" s="154"/>
      <c r="Y118" s="154"/>
      <c r="Z118" s="155"/>
      <c r="AA118" s="132">
        <f>W112*$L$2/100-AI123</f>
        <v>184.58947368421053</v>
      </c>
      <c r="AB118" s="233"/>
      <c r="AC118" s="233"/>
      <c r="AD118" s="233"/>
      <c r="AE118" s="233"/>
      <c r="AF118" s="233"/>
      <c r="AG118" s="233"/>
      <c r="AH118" s="233"/>
      <c r="AI118" s="233"/>
    </row>
    <row r="119" spans="1:38" ht="12.75">
      <c r="A119" s="144"/>
      <c r="B119" s="125" t="s">
        <v>30</v>
      </c>
      <c r="C119" s="126"/>
      <c r="D119" s="126"/>
      <c r="E119" s="126"/>
      <c r="F119" s="161"/>
      <c r="G119" s="156">
        <f>G112*$L$2/100-AA123</f>
        <v>40.37894736842105</v>
      </c>
      <c r="H119" s="157"/>
      <c r="I119" s="157"/>
      <c r="J119" s="158"/>
      <c r="K119" s="156">
        <f>K112*$L$2/100-AC123</f>
        <v>50.473684210526315</v>
      </c>
      <c r="L119" s="157"/>
      <c r="M119" s="157"/>
      <c r="N119" s="158"/>
      <c r="O119" s="156">
        <f>O112*$L$2/100-AE123</f>
        <v>50.473684210526315</v>
      </c>
      <c r="P119" s="157"/>
      <c r="Q119" s="157"/>
      <c r="R119" s="158"/>
      <c r="S119" s="156">
        <f>S112*$L$2/100-AG123</f>
        <v>43.26315789473684</v>
      </c>
      <c r="T119" s="157"/>
      <c r="U119" s="157"/>
      <c r="V119" s="158"/>
      <c r="W119" s="153">
        <f t="shared" si="5"/>
        <v>184.58947368421053</v>
      </c>
      <c r="X119" s="154"/>
      <c r="Y119" s="154"/>
      <c r="Z119" s="155"/>
      <c r="AA119" s="101">
        <f>IF(G112&lt;G111,$T$5*(G112-G111)*$L$3/100,$T$5*G112/100)</f>
        <v>1.12</v>
      </c>
      <c r="AB119" s="101"/>
      <c r="AC119" s="101">
        <f>IF(K112&lt;K111,$T$5*(K112-K111)*$L$3/100,$T$5*K112/100)</f>
        <v>1.4</v>
      </c>
      <c r="AD119" s="101"/>
      <c r="AE119" s="101">
        <f>IF(O112&lt;O111,$T$5*(O112-O111)*$L$3/100,$T$5*O112/100)</f>
        <v>1.4</v>
      </c>
      <c r="AF119" s="101"/>
      <c r="AG119" s="101">
        <f>IF(S112&lt;S111,$T$5*(S112-S111)*$L$3/100,$T$5*S112/100)</f>
        <v>1.2</v>
      </c>
      <c r="AH119" s="101"/>
      <c r="AI119" s="97">
        <f>SUM(AA119:AH119)</f>
        <v>5.12</v>
      </c>
      <c r="AJ119" s="98"/>
      <c r="AK119" s="98"/>
      <c r="AL119" s="2" t="s">
        <v>277</v>
      </c>
    </row>
    <row r="120" spans="1:38" ht="12.75">
      <c r="A120" s="144"/>
      <c r="B120" s="125" t="s">
        <v>283</v>
      </c>
      <c r="C120" s="126"/>
      <c r="D120" s="126"/>
      <c r="E120" s="126"/>
      <c r="F120" s="161"/>
      <c r="G120" s="156">
        <f>G119-G116-G115+$AI122</f>
        <v>-8.421052631578949</v>
      </c>
      <c r="H120" s="157"/>
      <c r="I120" s="157"/>
      <c r="J120" s="158"/>
      <c r="K120" s="156">
        <f>K119-K116-K115+$AI122</f>
        <v>2.873684210526317</v>
      </c>
      <c r="L120" s="157"/>
      <c r="M120" s="157"/>
      <c r="N120" s="158"/>
      <c r="O120" s="156">
        <f>O119-O116-O115+$AI122</f>
        <v>2.873684210526317</v>
      </c>
      <c r="P120" s="157"/>
      <c r="Q120" s="157"/>
      <c r="R120" s="158"/>
      <c r="S120" s="156">
        <f>S119-S116-S115+$AI122</f>
        <v>-1.5368421052631547</v>
      </c>
      <c r="T120" s="157"/>
      <c r="U120" s="157"/>
      <c r="V120" s="158"/>
      <c r="W120" s="153">
        <f t="shared" si="5"/>
        <v>-4.210526315789469</v>
      </c>
      <c r="X120" s="154"/>
      <c r="Y120" s="154"/>
      <c r="Z120" s="159"/>
      <c r="AA120" s="101">
        <f>IF(G112&lt;G111,0,$T$3*G112/100)</f>
        <v>0</v>
      </c>
      <c r="AB120" s="101"/>
      <c r="AC120" s="101">
        <f>IF(K112&lt;K111,0,$T$3*K112/100)</f>
        <v>0</v>
      </c>
      <c r="AD120" s="101"/>
      <c r="AE120" s="101">
        <f>IF(O112&lt;O111,0,$T$3*O112/100)</f>
        <v>0</v>
      </c>
      <c r="AF120" s="101"/>
      <c r="AG120" s="101">
        <f>IF(S112&lt;S111,0,$T$3*S112/100)</f>
        <v>0</v>
      </c>
      <c r="AH120" s="101"/>
      <c r="AI120" s="97">
        <f>SUM(AA120:AH120)</f>
        <v>0</v>
      </c>
      <c r="AJ120" s="98"/>
      <c r="AK120" s="98"/>
      <c r="AL120" s="2" t="s">
        <v>248</v>
      </c>
    </row>
    <row r="121" spans="1:38" ht="12.75">
      <c r="A121" s="144"/>
      <c r="B121" s="125" t="s">
        <v>45</v>
      </c>
      <c r="C121" s="126"/>
      <c r="D121" s="126"/>
      <c r="E121" s="126"/>
      <c r="F121" s="161"/>
      <c r="G121" s="156">
        <f>G120+G118</f>
        <v>-8.421052631578949</v>
      </c>
      <c r="H121" s="157"/>
      <c r="I121" s="157"/>
      <c r="J121" s="158"/>
      <c r="K121" s="156">
        <f>K120+K118</f>
        <v>2.873684210526317</v>
      </c>
      <c r="L121" s="157"/>
      <c r="M121" s="157"/>
      <c r="N121" s="158"/>
      <c r="O121" s="156">
        <f>O120+O118</f>
        <v>2.873684210526317</v>
      </c>
      <c r="P121" s="157"/>
      <c r="Q121" s="157"/>
      <c r="R121" s="158"/>
      <c r="S121" s="156">
        <f>S120+S118</f>
        <v>-1.5368421052631547</v>
      </c>
      <c r="T121" s="157"/>
      <c r="U121" s="157"/>
      <c r="V121" s="158"/>
      <c r="W121" s="153">
        <f t="shared" si="5"/>
        <v>-4.210526315789469</v>
      </c>
      <c r="X121" s="154"/>
      <c r="Y121" s="154"/>
      <c r="Z121" s="155"/>
      <c r="AA121" s="101">
        <f>IF(G112&lt;G111,0,$T$4*G112/100)</f>
        <v>0</v>
      </c>
      <c r="AB121" s="101"/>
      <c r="AC121" s="101">
        <f>IF(K112&lt;K111,0,$T$4*K112/100)</f>
        <v>0</v>
      </c>
      <c r="AD121" s="101"/>
      <c r="AE121" s="101">
        <f>IF(O112&lt;O111,0,$T$4*O112/100)</f>
        <v>0</v>
      </c>
      <c r="AF121" s="101"/>
      <c r="AG121" s="101">
        <f>IF(S112&lt;S111,0,$T$4*S112/100)</f>
        <v>0</v>
      </c>
      <c r="AH121" s="101"/>
      <c r="AI121" s="97">
        <f>SUM(AA121:AH121)</f>
        <v>0</v>
      </c>
      <c r="AJ121" s="98"/>
      <c r="AK121" s="98"/>
      <c r="AL121" s="2" t="s">
        <v>281</v>
      </c>
    </row>
    <row r="122" spans="1:38" ht="12.75">
      <c r="A122" s="144"/>
      <c r="B122" s="194" t="s">
        <v>26</v>
      </c>
      <c r="C122" s="98"/>
      <c r="D122" s="98"/>
      <c r="E122" s="98"/>
      <c r="F122" s="195"/>
      <c r="G122" s="196">
        <f>$AG114/100*$AL$3</f>
        <v>0</v>
      </c>
      <c r="H122" s="197"/>
      <c r="I122" s="197"/>
      <c r="J122" s="198"/>
      <c r="K122" s="196">
        <f>$AG114/100*$AL$3</f>
        <v>0</v>
      </c>
      <c r="L122" s="197"/>
      <c r="M122" s="197"/>
      <c r="N122" s="198"/>
      <c r="O122" s="196">
        <f>$AG114/100*$AL$3</f>
        <v>0</v>
      </c>
      <c r="P122" s="197"/>
      <c r="Q122" s="197"/>
      <c r="R122" s="198"/>
      <c r="S122" s="196">
        <f>$AG114/100*$AL$3</f>
        <v>0</v>
      </c>
      <c r="T122" s="197"/>
      <c r="U122" s="197"/>
      <c r="V122" s="198"/>
      <c r="W122" s="153">
        <f t="shared" si="5"/>
        <v>0</v>
      </c>
      <c r="X122" s="154"/>
      <c r="Y122" s="154"/>
      <c r="Z122" s="155"/>
      <c r="AI122" s="224">
        <f>'ЦФУ Продажи'!AE$59</f>
        <v>0</v>
      </c>
      <c r="AJ122" s="224"/>
      <c r="AK122" s="224"/>
      <c r="AL122" s="2" t="s">
        <v>280</v>
      </c>
    </row>
    <row r="123" spans="1:38" ht="13.5" thickBot="1">
      <c r="A123" s="144"/>
      <c r="B123" s="191" t="s">
        <v>28</v>
      </c>
      <c r="C123" s="192"/>
      <c r="D123" s="192"/>
      <c r="E123" s="192"/>
      <c r="F123" s="193"/>
      <c r="G123" s="149">
        <f>IF(G122&lt;0,G115,G115+G122)</f>
        <v>28.8</v>
      </c>
      <c r="H123" s="147"/>
      <c r="I123" s="147"/>
      <c r="J123" s="148"/>
      <c r="K123" s="146">
        <v>0</v>
      </c>
      <c r="L123" s="147"/>
      <c r="M123" s="147"/>
      <c r="N123" s="148"/>
      <c r="O123" s="149">
        <f>IF(O122&lt;0,O115,O115+O122)</f>
        <v>27.599999999999998</v>
      </c>
      <c r="P123" s="147"/>
      <c r="Q123" s="147"/>
      <c r="R123" s="148"/>
      <c r="S123" s="146">
        <f>IF(S122&lt;0,S115,S115+S122)</f>
        <v>24.799999999999997</v>
      </c>
      <c r="T123" s="147"/>
      <c r="U123" s="147"/>
      <c r="V123" s="148"/>
      <c r="W123" s="150">
        <f t="shared" si="5"/>
        <v>81.19999999999999</v>
      </c>
      <c r="X123" s="151"/>
      <c r="Y123" s="151"/>
      <c r="Z123" s="152"/>
      <c r="AA123" s="101">
        <f>IF($AI119&gt;0,IF(AA119&gt;=0,0,G112*($T$2+$T$3+$T$5)/100-AA119),IF(G112&lt;G111,G112*($T$2+$T$3+$T$5)/100,AA119))</f>
        <v>0</v>
      </c>
      <c r="AB123" s="101"/>
      <c r="AC123" s="101">
        <f>IF($AI119&gt;=0,IF(AC119&gt;=0,0,K112*($T$2+$T$3+$T$4+$T$5)/100-AC119),IF(AC119&lt;0,K112*($T$2+$T$3+$T$4+$T$5)/100,AC119))</f>
        <v>0</v>
      </c>
      <c r="AD123" s="101"/>
      <c r="AE123" s="101">
        <f>IF($AI119&gt;=0,IF(AE119&gt;=0,0,O112*($T$2+$T$3+$T$4+$T$5)/100-AE119),IF(AE119&lt;0,O112*($T$2+$T$3+$T$4+$T$5)/100,AE119))</f>
        <v>0</v>
      </c>
      <c r="AF123" s="101"/>
      <c r="AG123" s="101">
        <f>IF($AI119&gt;=0,IF(AG119&gt;=0,0,S112*($T$2+$T$3+$T$4+$T$5)/100-AG119),IF(AG119&lt;0,S112*($T$2+$T$3+$T$4+$T$5)/100,AG119))</f>
        <v>0</v>
      </c>
      <c r="AH123" s="101"/>
      <c r="AI123" s="97">
        <f>SUM(AA123:AH123)</f>
        <v>0</v>
      </c>
      <c r="AJ123" s="98"/>
      <c r="AK123" s="98"/>
      <c r="AL123" s="2" t="s">
        <v>218</v>
      </c>
    </row>
    <row r="124" spans="1:35" ht="12.75" customHeight="1">
      <c r="A124" s="143" t="s">
        <v>70</v>
      </c>
      <c r="B124" s="93" t="s">
        <v>23</v>
      </c>
      <c r="C124" s="94"/>
      <c r="D124" s="94"/>
      <c r="E124" s="94"/>
      <c r="F124" s="199"/>
      <c r="G124" s="185">
        <v>1120</v>
      </c>
      <c r="H124" s="183"/>
      <c r="I124" s="183"/>
      <c r="J124" s="184"/>
      <c r="K124" s="182">
        <v>1400</v>
      </c>
      <c r="L124" s="183"/>
      <c r="M124" s="183"/>
      <c r="N124" s="184"/>
      <c r="O124" s="185">
        <v>1400</v>
      </c>
      <c r="P124" s="183"/>
      <c r="Q124" s="183"/>
      <c r="R124" s="184"/>
      <c r="S124" s="182">
        <v>1400</v>
      </c>
      <c r="T124" s="183"/>
      <c r="U124" s="183"/>
      <c r="V124" s="184"/>
      <c r="W124" s="170">
        <f t="shared" si="5"/>
        <v>5320</v>
      </c>
      <c r="X124" s="171"/>
      <c r="Y124" s="171"/>
      <c r="Z124" s="172"/>
      <c r="AA124" s="93" t="s">
        <v>53</v>
      </c>
      <c r="AB124" s="94"/>
      <c r="AC124" s="94"/>
      <c r="AD124" s="94"/>
      <c r="AE124" s="94"/>
      <c r="AF124" s="94"/>
      <c r="AG124" s="173">
        <f>(W129+$N$2*AG130)/W124*100+$Q$2+$T$2+$T$3+$T$5</f>
        <v>3.6052631578947367</v>
      </c>
      <c r="AH124" s="174"/>
      <c r="AI124" s="175"/>
    </row>
    <row r="125" spans="1:36" ht="12.75">
      <c r="A125" s="144"/>
      <c r="B125" s="125" t="s">
        <v>24</v>
      </c>
      <c r="C125" s="126"/>
      <c r="D125" s="126"/>
      <c r="E125" s="126"/>
      <c r="F125" s="161"/>
      <c r="G125" s="179">
        <v>1120</v>
      </c>
      <c r="H125" s="177"/>
      <c r="I125" s="177"/>
      <c r="J125" s="178"/>
      <c r="K125" s="176">
        <v>1400</v>
      </c>
      <c r="L125" s="177"/>
      <c r="M125" s="177"/>
      <c r="N125" s="178"/>
      <c r="O125" s="179">
        <v>1400</v>
      </c>
      <c r="P125" s="177"/>
      <c r="Q125" s="177"/>
      <c r="R125" s="178"/>
      <c r="S125" s="176">
        <v>1400</v>
      </c>
      <c r="T125" s="177"/>
      <c r="U125" s="177"/>
      <c r="V125" s="178"/>
      <c r="W125" s="153">
        <f t="shared" si="5"/>
        <v>5320</v>
      </c>
      <c r="X125" s="154"/>
      <c r="Y125" s="154"/>
      <c r="Z125" s="155"/>
      <c r="AA125" s="125" t="s">
        <v>54</v>
      </c>
      <c r="AB125" s="126"/>
      <c r="AC125" s="126"/>
      <c r="AD125" s="126"/>
      <c r="AE125" s="126"/>
      <c r="AF125" s="126"/>
      <c r="AG125" s="180">
        <f>(AG124-$L$2)*W124/100</f>
        <v>0</v>
      </c>
      <c r="AH125" s="180"/>
      <c r="AI125" s="181"/>
      <c r="AJ125" s="2" t="s">
        <v>284</v>
      </c>
    </row>
    <row r="126" spans="1:43" ht="12.75">
      <c r="A126" s="144"/>
      <c r="B126" s="125" t="s">
        <v>29</v>
      </c>
      <c r="C126" s="126"/>
      <c r="D126" s="126"/>
      <c r="E126" s="126"/>
      <c r="F126" s="161"/>
      <c r="G126" s="156">
        <f>IF(G124&lt;=G125,$N$2+G125/100*($Q$2+$T$2)+$AI133/$AG130+$AI135+IF(AI132&gt;0,AI132,0),$N$2+G125/100*$Q$2+$AI133/$AG130+$AI135+IF(AI132&gt;0,AI132,0))</f>
        <v>29</v>
      </c>
      <c r="H126" s="157"/>
      <c r="I126" s="157"/>
      <c r="J126" s="158"/>
      <c r="K126" s="156">
        <f>IF(K124&lt;=K125,$N$2+K125/100*($Q$2+$T$2)+$AI133/$AG130+$AI135,$N$2+K125/100*$Q$2+$AI133/$AG130+$AI135)</f>
        <v>27.599999999999998</v>
      </c>
      <c r="L126" s="157"/>
      <c r="M126" s="157"/>
      <c r="N126" s="158"/>
      <c r="O126" s="156">
        <f>IF(O124&lt;=O125,$N$2+O125/100*($Q$2+$T$2)+$AI133/$AG130+$AI135,$N$2+O125/100*$Q$2+$AI133/$AG130+$AI135)</f>
        <v>27.599999999999998</v>
      </c>
      <c r="P126" s="157"/>
      <c r="Q126" s="157"/>
      <c r="R126" s="158"/>
      <c r="S126" s="156">
        <f>IF(S124&lt;=S125,$N$2+S125/100*($Q$2+$T$2)+$AI133/$AG130+$AI135,$N$2+S125/100*$Q$2+$AI133/$AG130+$AI135)</f>
        <v>27.599999999999998</v>
      </c>
      <c r="T126" s="157"/>
      <c r="U126" s="157"/>
      <c r="V126" s="158"/>
      <c r="W126" s="153">
        <f t="shared" si="5"/>
        <v>111.79999999999998</v>
      </c>
      <c r="X126" s="154"/>
      <c r="Y126" s="154"/>
      <c r="Z126" s="155"/>
      <c r="AA126" s="205" t="s">
        <v>55</v>
      </c>
      <c r="AB126" s="126"/>
      <c r="AC126" s="126"/>
      <c r="AD126" s="126"/>
      <c r="AE126" s="126"/>
      <c r="AF126" s="126"/>
      <c r="AG126" s="122">
        <f>SUM(AJ127:AQ127)+AG125</f>
        <v>0</v>
      </c>
      <c r="AH126" s="123"/>
      <c r="AI126" s="124"/>
      <c r="AJ126" s="225">
        <f>$N$2+G124*($Q$2+$T$2+$T$3/$AG130)/100+$T$5*$W124/100</f>
        <v>29</v>
      </c>
      <c r="AK126" s="226"/>
      <c r="AL126" s="225">
        <f>$N$2+K124*($Q$2+$T$2+$T$3/$AG130)/100</f>
        <v>27.599999999999998</v>
      </c>
      <c r="AM126" s="226"/>
      <c r="AN126" s="225">
        <f>$N$2+O124*($Q$2+$T$2+$T$3/$AG130)/100</f>
        <v>27.599999999999998</v>
      </c>
      <c r="AO126" s="226"/>
      <c r="AP126" s="225">
        <f>$N$2+S124*($Q$2+$T$2+$T$3/$AG130)/100</f>
        <v>27.599999999999998</v>
      </c>
      <c r="AQ126" s="226"/>
    </row>
    <row r="127" spans="1:43" ht="12.75">
      <c r="A127" s="144"/>
      <c r="B127" s="125" t="s">
        <v>10</v>
      </c>
      <c r="C127" s="126"/>
      <c r="D127" s="126"/>
      <c r="E127" s="126"/>
      <c r="F127" s="161"/>
      <c r="G127" s="169">
        <v>8</v>
      </c>
      <c r="H127" s="167"/>
      <c r="I127" s="167"/>
      <c r="J127" s="168"/>
      <c r="K127" s="166">
        <v>8</v>
      </c>
      <c r="L127" s="167"/>
      <c r="M127" s="167"/>
      <c r="N127" s="168"/>
      <c r="O127" s="169">
        <v>8</v>
      </c>
      <c r="P127" s="167"/>
      <c r="Q127" s="167"/>
      <c r="R127" s="168"/>
      <c r="S127" s="166">
        <v>8</v>
      </c>
      <c r="T127" s="167"/>
      <c r="U127" s="167"/>
      <c r="V127" s="168"/>
      <c r="W127" s="153">
        <f t="shared" si="5"/>
        <v>32</v>
      </c>
      <c r="X127" s="154"/>
      <c r="Y127" s="154"/>
      <c r="Z127" s="155"/>
      <c r="AA127" s="205" t="s">
        <v>56</v>
      </c>
      <c r="AB127" s="126"/>
      <c r="AC127" s="126"/>
      <c r="AD127" s="126"/>
      <c r="AE127" s="126"/>
      <c r="AF127" s="126"/>
      <c r="AG127" s="134">
        <f>W134+AG126</f>
        <v>3.552713678800501E-15</v>
      </c>
      <c r="AH127" s="134"/>
      <c r="AI127" s="135"/>
      <c r="AJ127" s="225">
        <f>IF(AJ126&gt;G127,0,G127-AJ126)</f>
        <v>0</v>
      </c>
      <c r="AK127" s="226"/>
      <c r="AL127" s="225">
        <f>IF(AL126&gt;K127,0,K127-AL126)</f>
        <v>0</v>
      </c>
      <c r="AM127" s="226"/>
      <c r="AN127" s="225">
        <f>IF(AN126&gt;O127,0,O127-AN126)</f>
        <v>0</v>
      </c>
      <c r="AO127" s="226"/>
      <c r="AP127" s="225">
        <f>IF(AP126&gt;S127,0,S127-AP126)</f>
        <v>0</v>
      </c>
      <c r="AQ127" s="226"/>
    </row>
    <row r="128" spans="1:48" ht="13.5" thickBot="1">
      <c r="A128" s="144"/>
      <c r="B128" s="125" t="s">
        <v>58</v>
      </c>
      <c r="C128" s="126"/>
      <c r="D128" s="126"/>
      <c r="E128" s="126"/>
      <c r="F128" s="161"/>
      <c r="G128" s="156">
        <f>IF(G126&lt;G127,G127,G126)</f>
        <v>29</v>
      </c>
      <c r="H128" s="157"/>
      <c r="I128" s="157"/>
      <c r="J128" s="158"/>
      <c r="K128" s="156">
        <f>IF(K126&lt;K127,K127,K126)</f>
        <v>27.599999999999998</v>
      </c>
      <c r="L128" s="157"/>
      <c r="M128" s="157"/>
      <c r="N128" s="158"/>
      <c r="O128" s="156">
        <f>IF(O126&lt;O127,O127,O126)</f>
        <v>27.599999999999998</v>
      </c>
      <c r="P128" s="157"/>
      <c r="Q128" s="157"/>
      <c r="R128" s="158"/>
      <c r="S128" s="156">
        <f>IF(S126&lt;S127,S127,S126)</f>
        <v>27.599999999999998</v>
      </c>
      <c r="T128" s="157"/>
      <c r="U128" s="157"/>
      <c r="V128" s="158"/>
      <c r="W128" s="153">
        <f t="shared" si="5"/>
        <v>111.79999999999998</v>
      </c>
      <c r="X128" s="154"/>
      <c r="Y128" s="154"/>
      <c r="Z128" s="155"/>
      <c r="AA128" s="232" t="s">
        <v>57</v>
      </c>
      <c r="AB128" s="90"/>
      <c r="AC128" s="90"/>
      <c r="AD128" s="90"/>
      <c r="AE128" s="90"/>
      <c r="AF128" s="90"/>
      <c r="AG128" s="91">
        <f>-AG126+AG127-W135</f>
        <v>3.552713678800501E-15</v>
      </c>
      <c r="AH128" s="91"/>
      <c r="AI128" s="85"/>
      <c r="AP128" s="35"/>
      <c r="AQ128" s="35"/>
      <c r="AR128" s="35"/>
      <c r="AS128" s="35"/>
      <c r="AT128" s="35"/>
      <c r="AU128" s="35"/>
      <c r="AV128" s="35"/>
    </row>
    <row r="129" spans="1:48" ht="13.5" thickBot="1">
      <c r="A129" s="144"/>
      <c r="B129" s="125" t="s">
        <v>41</v>
      </c>
      <c r="C129" s="126"/>
      <c r="D129" s="126"/>
      <c r="E129" s="126"/>
      <c r="F129" s="161"/>
      <c r="G129" s="156">
        <v>20</v>
      </c>
      <c r="H129" s="157"/>
      <c r="I129" s="157"/>
      <c r="J129" s="158"/>
      <c r="K129" s="156">
        <v>20</v>
      </c>
      <c r="L129" s="157"/>
      <c r="M129" s="157"/>
      <c r="N129" s="158"/>
      <c r="O129" s="156">
        <v>20</v>
      </c>
      <c r="P129" s="157"/>
      <c r="Q129" s="157"/>
      <c r="R129" s="158"/>
      <c r="S129" s="156">
        <v>20</v>
      </c>
      <c r="T129" s="157"/>
      <c r="U129" s="157"/>
      <c r="V129" s="158"/>
      <c r="W129" s="153">
        <f t="shared" si="5"/>
        <v>80</v>
      </c>
      <c r="X129" s="154"/>
      <c r="Y129" s="154"/>
      <c r="Z129" s="155"/>
      <c r="AA129" s="230" t="s">
        <v>59</v>
      </c>
      <c r="AB129" s="231"/>
      <c r="AC129" s="231"/>
      <c r="AD129" s="231"/>
      <c r="AE129" s="231"/>
      <c r="AF129" s="231"/>
      <c r="AG129" s="88">
        <f>AG126+AG128</f>
        <v>3.552713678800501E-15</v>
      </c>
      <c r="AH129" s="89"/>
      <c r="AI129" s="84"/>
      <c r="AP129" s="35"/>
      <c r="AQ129" s="35"/>
      <c r="AR129" s="35"/>
      <c r="AS129" s="35"/>
      <c r="AT129" s="35"/>
      <c r="AU129" s="35"/>
      <c r="AV129" s="35"/>
    </row>
    <row r="130" spans="1:48" ht="12.75">
      <c r="A130" s="144"/>
      <c r="B130" s="125" t="s">
        <v>42</v>
      </c>
      <c r="C130" s="126"/>
      <c r="D130" s="126"/>
      <c r="E130" s="126"/>
      <c r="F130" s="161"/>
      <c r="G130" s="169">
        <v>20</v>
      </c>
      <c r="H130" s="167"/>
      <c r="I130" s="167"/>
      <c r="J130" s="168"/>
      <c r="K130" s="166">
        <v>20</v>
      </c>
      <c r="L130" s="167"/>
      <c r="M130" s="167"/>
      <c r="N130" s="168"/>
      <c r="O130" s="169">
        <v>20</v>
      </c>
      <c r="P130" s="167"/>
      <c r="Q130" s="167"/>
      <c r="R130" s="168"/>
      <c r="S130" s="166">
        <v>20</v>
      </c>
      <c r="T130" s="167"/>
      <c r="U130" s="167"/>
      <c r="V130" s="168"/>
      <c r="W130" s="153">
        <f t="shared" si="5"/>
        <v>80</v>
      </c>
      <c r="X130" s="154"/>
      <c r="Y130" s="154"/>
      <c r="Z130" s="155"/>
      <c r="AA130" s="228" t="s">
        <v>279</v>
      </c>
      <c r="AB130" s="229"/>
      <c r="AC130" s="229"/>
      <c r="AD130" s="229"/>
      <c r="AE130" s="229"/>
      <c r="AF130" s="229"/>
      <c r="AG130" s="95">
        <v>4</v>
      </c>
      <c r="AH130" s="95"/>
      <c r="AI130" s="95"/>
      <c r="AP130" s="35"/>
      <c r="AQ130" s="132"/>
      <c r="AR130" s="132"/>
      <c r="AS130" s="35"/>
      <c r="AT130" s="35"/>
      <c r="AU130" s="35"/>
      <c r="AV130" s="35"/>
    </row>
    <row r="131" spans="1:48" ht="12.75">
      <c r="A131" s="144"/>
      <c r="B131" s="125" t="s">
        <v>43</v>
      </c>
      <c r="C131" s="126"/>
      <c r="D131" s="126"/>
      <c r="E131" s="126"/>
      <c r="F131" s="161"/>
      <c r="G131" s="165">
        <f>G129-G130</f>
        <v>0</v>
      </c>
      <c r="H131" s="163"/>
      <c r="I131" s="163"/>
      <c r="J131" s="164"/>
      <c r="K131" s="165">
        <f>K129-K130</f>
        <v>0</v>
      </c>
      <c r="L131" s="163"/>
      <c r="M131" s="163"/>
      <c r="N131" s="164"/>
      <c r="O131" s="165">
        <f>O129-O130</f>
        <v>0</v>
      </c>
      <c r="P131" s="163"/>
      <c r="Q131" s="163"/>
      <c r="R131" s="164"/>
      <c r="S131" s="165">
        <f>S129-S130</f>
        <v>0</v>
      </c>
      <c r="T131" s="163"/>
      <c r="U131" s="163"/>
      <c r="V131" s="164"/>
      <c r="W131" s="153">
        <f t="shared" si="5"/>
        <v>0</v>
      </c>
      <c r="X131" s="154"/>
      <c r="Y131" s="154"/>
      <c r="Z131" s="155"/>
      <c r="AA131" s="132">
        <f>W125*$L$2/100-AI136</f>
        <v>191.8</v>
      </c>
      <c r="AB131" s="233"/>
      <c r="AC131" s="233"/>
      <c r="AD131" s="233"/>
      <c r="AE131" s="233"/>
      <c r="AF131" s="233"/>
      <c r="AG131" s="233"/>
      <c r="AH131" s="233"/>
      <c r="AI131" s="233"/>
      <c r="AP131" s="35"/>
      <c r="AQ131" s="35"/>
      <c r="AR131" s="35"/>
      <c r="AS131" s="35"/>
      <c r="AT131" s="35"/>
      <c r="AU131" s="35"/>
      <c r="AV131" s="35"/>
    </row>
    <row r="132" spans="1:48" ht="12.75">
      <c r="A132" s="144"/>
      <c r="B132" s="125" t="s">
        <v>30</v>
      </c>
      <c r="C132" s="126"/>
      <c r="D132" s="126"/>
      <c r="E132" s="126"/>
      <c r="F132" s="161"/>
      <c r="G132" s="156">
        <f>G125*$L$2/100-AA136</f>
        <v>40.37894736842105</v>
      </c>
      <c r="H132" s="157"/>
      <c r="I132" s="157"/>
      <c r="J132" s="158"/>
      <c r="K132" s="156">
        <f>K125*$L$2/100-AC136</f>
        <v>50.473684210526315</v>
      </c>
      <c r="L132" s="157"/>
      <c r="M132" s="157"/>
      <c r="N132" s="158"/>
      <c r="O132" s="156">
        <f>O125*$L$2/100-AE136</f>
        <v>50.473684210526315</v>
      </c>
      <c r="P132" s="157"/>
      <c r="Q132" s="157"/>
      <c r="R132" s="158"/>
      <c r="S132" s="156">
        <f>S125*$L$2/100-AG136</f>
        <v>50.473684210526315</v>
      </c>
      <c r="T132" s="157"/>
      <c r="U132" s="157"/>
      <c r="V132" s="158"/>
      <c r="W132" s="153">
        <f t="shared" si="5"/>
        <v>191.8</v>
      </c>
      <c r="X132" s="154"/>
      <c r="Y132" s="154"/>
      <c r="Z132" s="155"/>
      <c r="AA132" s="101">
        <f>IF(G125&lt;G124,$T$5*(G125-G124)*$L$3/100,$T$5*G125/100)</f>
        <v>1.12</v>
      </c>
      <c r="AB132" s="101"/>
      <c r="AC132" s="101">
        <f>IF(K125&lt;K124,$T$5*(K125-K124)*$L$3/100,$T$5*K125/100)</f>
        <v>1.4</v>
      </c>
      <c r="AD132" s="101"/>
      <c r="AE132" s="101">
        <f>IF(O125&lt;O124,$T$5*(O125-O124)*$L$3/100,$T$5*O125/100)</f>
        <v>1.4</v>
      </c>
      <c r="AF132" s="101"/>
      <c r="AG132" s="101">
        <f>IF(S125&lt;S124,$T$5*(S125-S124)*$L$3/100,$T$5*S125/100)</f>
        <v>1.4</v>
      </c>
      <c r="AH132" s="101"/>
      <c r="AI132" s="97">
        <f>SUM(AA132:AH132)</f>
        <v>5.32</v>
      </c>
      <c r="AJ132" s="98"/>
      <c r="AK132" s="98"/>
      <c r="AL132" s="2" t="s">
        <v>277</v>
      </c>
      <c r="AP132" s="35"/>
      <c r="AQ132" s="35"/>
      <c r="AR132" s="35"/>
      <c r="AS132" s="35"/>
      <c r="AT132" s="35"/>
      <c r="AU132" s="35"/>
      <c r="AV132" s="35"/>
    </row>
    <row r="133" spans="1:48" ht="12.75">
      <c r="A133" s="144"/>
      <c r="B133" s="125" t="s">
        <v>283</v>
      </c>
      <c r="C133" s="126"/>
      <c r="D133" s="126"/>
      <c r="E133" s="126"/>
      <c r="F133" s="161"/>
      <c r="G133" s="156">
        <f>G132-G129-G128+$AI135</f>
        <v>-8.621052631578948</v>
      </c>
      <c r="H133" s="157"/>
      <c r="I133" s="157"/>
      <c r="J133" s="158"/>
      <c r="K133" s="156">
        <f>K132-K129-K128+$AI135</f>
        <v>2.873684210526317</v>
      </c>
      <c r="L133" s="157"/>
      <c r="M133" s="157"/>
      <c r="N133" s="158"/>
      <c r="O133" s="156">
        <f>O132-O129-O128+$AI135</f>
        <v>2.873684210526317</v>
      </c>
      <c r="P133" s="157"/>
      <c r="Q133" s="157"/>
      <c r="R133" s="158"/>
      <c r="S133" s="156">
        <f>S132-S129-S128+$AI135</f>
        <v>2.873684210526317</v>
      </c>
      <c r="T133" s="157"/>
      <c r="U133" s="157"/>
      <c r="V133" s="158"/>
      <c r="W133" s="153">
        <f t="shared" si="5"/>
        <v>3.552713678800501E-15</v>
      </c>
      <c r="X133" s="154"/>
      <c r="Y133" s="154"/>
      <c r="Z133" s="159"/>
      <c r="AA133" s="101">
        <f>IF(G125&lt;G124,0,$T$3*G125/100)</f>
        <v>0</v>
      </c>
      <c r="AB133" s="101"/>
      <c r="AC133" s="101">
        <f>IF(K125&lt;K124,0,$T$3*K125/100)</f>
        <v>0</v>
      </c>
      <c r="AD133" s="101"/>
      <c r="AE133" s="101">
        <f>IF(O125&lt;O124,0,$T$3*O125/100)</f>
        <v>0</v>
      </c>
      <c r="AF133" s="101"/>
      <c r="AG133" s="101">
        <f>IF(S125&lt;S124,0,$T$3*S125/100)</f>
        <v>0</v>
      </c>
      <c r="AH133" s="101"/>
      <c r="AI133" s="97">
        <f>SUM(AA133:AH133)</f>
        <v>0</v>
      </c>
      <c r="AJ133" s="98"/>
      <c r="AK133" s="98"/>
      <c r="AL133" s="2" t="s">
        <v>248</v>
      </c>
      <c r="AP133" s="35"/>
      <c r="AQ133" s="35"/>
      <c r="AR133" s="35"/>
      <c r="AS133" s="35"/>
      <c r="AT133" s="35"/>
      <c r="AU133" s="35"/>
      <c r="AV133" s="35"/>
    </row>
    <row r="134" spans="1:48" ht="12.75">
      <c r="A134" s="144"/>
      <c r="B134" s="125" t="s">
        <v>45</v>
      </c>
      <c r="C134" s="126"/>
      <c r="D134" s="126"/>
      <c r="E134" s="126"/>
      <c r="F134" s="161"/>
      <c r="G134" s="156">
        <f>G133+G131</f>
        <v>-8.621052631578948</v>
      </c>
      <c r="H134" s="157"/>
      <c r="I134" s="157"/>
      <c r="J134" s="158"/>
      <c r="K134" s="156">
        <f>K133+K131</f>
        <v>2.873684210526317</v>
      </c>
      <c r="L134" s="157"/>
      <c r="M134" s="157"/>
      <c r="N134" s="158"/>
      <c r="O134" s="156">
        <f>O133+O131</f>
        <v>2.873684210526317</v>
      </c>
      <c r="P134" s="157"/>
      <c r="Q134" s="157"/>
      <c r="R134" s="158"/>
      <c r="S134" s="156">
        <f>S133+S131</f>
        <v>2.873684210526317</v>
      </c>
      <c r="T134" s="157"/>
      <c r="U134" s="157"/>
      <c r="V134" s="158"/>
      <c r="W134" s="153">
        <f t="shared" si="5"/>
        <v>3.552713678800501E-15</v>
      </c>
      <c r="X134" s="154"/>
      <c r="Y134" s="154"/>
      <c r="Z134" s="155"/>
      <c r="AA134" s="101">
        <f>IF(G125&lt;G124,0,$T$4*G125/100)</f>
        <v>0</v>
      </c>
      <c r="AB134" s="101"/>
      <c r="AC134" s="101">
        <f>IF(K125&lt;K124,0,$T$4*K125/100)</f>
        <v>0</v>
      </c>
      <c r="AD134" s="101"/>
      <c r="AE134" s="101">
        <f>IF(O125&lt;O124,0,$T$4*O125/100)</f>
        <v>0</v>
      </c>
      <c r="AF134" s="101"/>
      <c r="AG134" s="101">
        <f>IF(S125&lt;S124,0,$T$4*S125/100)</f>
        <v>0</v>
      </c>
      <c r="AH134" s="101"/>
      <c r="AI134" s="97">
        <f>SUM(AA134:AH134)</f>
        <v>0</v>
      </c>
      <c r="AJ134" s="98"/>
      <c r="AK134" s="98"/>
      <c r="AL134" s="2" t="s">
        <v>281</v>
      </c>
      <c r="AP134" s="35"/>
      <c r="AQ134" s="35"/>
      <c r="AR134" s="35"/>
      <c r="AS134" s="35"/>
      <c r="AT134" s="35"/>
      <c r="AU134" s="35"/>
      <c r="AV134" s="35"/>
    </row>
    <row r="135" spans="1:48" ht="12.75">
      <c r="A135" s="144"/>
      <c r="B135" s="194" t="s">
        <v>26</v>
      </c>
      <c r="C135" s="98"/>
      <c r="D135" s="98"/>
      <c r="E135" s="98"/>
      <c r="F135" s="195"/>
      <c r="G135" s="196">
        <f>$AG127/100*$AL$3</f>
        <v>0</v>
      </c>
      <c r="H135" s="197"/>
      <c r="I135" s="197"/>
      <c r="J135" s="198"/>
      <c r="K135" s="196">
        <f>$AG127/100*$AL$3</f>
        <v>0</v>
      </c>
      <c r="L135" s="197"/>
      <c r="M135" s="197"/>
      <c r="N135" s="198"/>
      <c r="O135" s="196">
        <f>$AG127/100*$AL$3</f>
        <v>0</v>
      </c>
      <c r="P135" s="197"/>
      <c r="Q135" s="197"/>
      <c r="R135" s="198"/>
      <c r="S135" s="196">
        <f>$AG127/100*$AL$3</f>
        <v>0</v>
      </c>
      <c r="T135" s="197"/>
      <c r="U135" s="197"/>
      <c r="V135" s="198"/>
      <c r="W135" s="153">
        <f t="shared" si="5"/>
        <v>0</v>
      </c>
      <c r="X135" s="154"/>
      <c r="Y135" s="154"/>
      <c r="Z135" s="155"/>
      <c r="AI135" s="224">
        <f>'ЦФУ Продажи'!AH$59</f>
        <v>0</v>
      </c>
      <c r="AJ135" s="224"/>
      <c r="AK135" s="224"/>
      <c r="AL135" s="2" t="s">
        <v>280</v>
      </c>
      <c r="AP135" s="35"/>
      <c r="AQ135" s="35"/>
      <c r="AR135" s="35"/>
      <c r="AS135" s="35"/>
      <c r="AT135" s="35"/>
      <c r="AU135" s="35"/>
      <c r="AV135" s="35"/>
    </row>
    <row r="136" spans="1:38" ht="13.5" thickBot="1">
      <c r="A136" s="144"/>
      <c r="B136" s="191" t="s">
        <v>28</v>
      </c>
      <c r="C136" s="192"/>
      <c r="D136" s="192"/>
      <c r="E136" s="192"/>
      <c r="F136" s="193"/>
      <c r="G136" s="149">
        <f>IF(G135&lt;0,G128,G128+G135)</f>
        <v>29</v>
      </c>
      <c r="H136" s="147"/>
      <c r="I136" s="147"/>
      <c r="J136" s="148"/>
      <c r="K136" s="146">
        <v>0</v>
      </c>
      <c r="L136" s="147"/>
      <c r="M136" s="147"/>
      <c r="N136" s="148"/>
      <c r="O136" s="149">
        <f>IF(O135&lt;0,O128,O128+O135)</f>
        <v>27.599999999999998</v>
      </c>
      <c r="P136" s="147"/>
      <c r="Q136" s="147"/>
      <c r="R136" s="148"/>
      <c r="S136" s="146">
        <f>IF(S135&lt;0,S128,S128+S135)</f>
        <v>27.599999999999998</v>
      </c>
      <c r="T136" s="147"/>
      <c r="U136" s="147"/>
      <c r="V136" s="148"/>
      <c r="W136" s="150">
        <f t="shared" si="5"/>
        <v>84.19999999999999</v>
      </c>
      <c r="X136" s="151"/>
      <c r="Y136" s="151"/>
      <c r="Z136" s="152"/>
      <c r="AA136" s="101">
        <f>IF($AI132&gt;0,IF(AA132&gt;=0,0,G125*($T$2+$T$3+$T$5)/100-AA132),IF(G125&lt;G124,G125*($T$2+$T$3+$T$5)/100,AA132))</f>
        <v>0</v>
      </c>
      <c r="AB136" s="101"/>
      <c r="AC136" s="101">
        <f>IF($AI132&gt;=0,IF(AC132&gt;=0,0,K125*($T$2+$T$3+$T$4+$T$5)/100-AC132),IF(AC132&lt;0,K125*($T$2+$T$3+$T$4+$T$5)/100,AC132))</f>
        <v>0</v>
      </c>
      <c r="AD136" s="101"/>
      <c r="AE136" s="101">
        <f>IF($AI132&gt;=0,IF(AE132&gt;=0,0,O125*($T$2+$T$3+$T$4+$T$5)/100-AE132),IF(AE132&lt;0,O125*($T$2+$T$3+$T$4+$T$5)/100,AE132))</f>
        <v>0</v>
      </c>
      <c r="AF136" s="101"/>
      <c r="AG136" s="101">
        <f>IF($AI132&gt;=0,IF(AG132&gt;=0,0,S125*($T$2+$T$3+$T$4+$T$5)/100-AG132),IF(AG132&lt;0,S125*($T$2+$T$3+$T$4+$T$5)/100,AG132))</f>
        <v>0</v>
      </c>
      <c r="AH136" s="101"/>
      <c r="AI136" s="97">
        <f>SUM(AA136:AH136)</f>
        <v>0</v>
      </c>
      <c r="AJ136" s="98"/>
      <c r="AK136" s="98"/>
      <c r="AL136" s="2" t="s">
        <v>218</v>
      </c>
    </row>
    <row r="137" spans="1:35" ht="12.75" customHeight="1">
      <c r="A137" s="143" t="s">
        <v>71</v>
      </c>
      <c r="B137" s="93" t="s">
        <v>23</v>
      </c>
      <c r="C137" s="94"/>
      <c r="D137" s="94"/>
      <c r="E137" s="94"/>
      <c r="F137" s="199"/>
      <c r="G137" s="185">
        <v>1120</v>
      </c>
      <c r="H137" s="183"/>
      <c r="I137" s="183"/>
      <c r="J137" s="184"/>
      <c r="K137" s="182">
        <v>1400</v>
      </c>
      <c r="L137" s="183"/>
      <c r="M137" s="183"/>
      <c r="N137" s="184"/>
      <c r="O137" s="185">
        <v>1400</v>
      </c>
      <c r="P137" s="183"/>
      <c r="Q137" s="183"/>
      <c r="R137" s="184"/>
      <c r="S137" s="182">
        <v>1400</v>
      </c>
      <c r="T137" s="183"/>
      <c r="U137" s="183"/>
      <c r="V137" s="184"/>
      <c r="W137" s="170">
        <f aca="true" t="shared" si="6" ref="W137:W149">G137+K137+O137+S137</f>
        <v>5320</v>
      </c>
      <c r="X137" s="171"/>
      <c r="Y137" s="171"/>
      <c r="Z137" s="172"/>
      <c r="AA137" s="93" t="s">
        <v>53</v>
      </c>
      <c r="AB137" s="94"/>
      <c r="AC137" s="94"/>
      <c r="AD137" s="94"/>
      <c r="AE137" s="94"/>
      <c r="AF137" s="94"/>
      <c r="AG137" s="173">
        <f>(W142+$N$2*AG143)/W137*100+$Q$2+$T$2+$T$3+$T$5</f>
        <v>3.6052631578947367</v>
      </c>
      <c r="AH137" s="174"/>
      <c r="AI137" s="175"/>
    </row>
    <row r="138" spans="1:36" ht="12.75">
      <c r="A138" s="144"/>
      <c r="B138" s="125" t="s">
        <v>24</v>
      </c>
      <c r="C138" s="126"/>
      <c r="D138" s="126"/>
      <c r="E138" s="126"/>
      <c r="F138" s="161"/>
      <c r="G138" s="179">
        <v>1120</v>
      </c>
      <c r="H138" s="177"/>
      <c r="I138" s="177"/>
      <c r="J138" s="178"/>
      <c r="K138" s="176">
        <v>1400</v>
      </c>
      <c r="L138" s="177"/>
      <c r="M138" s="177"/>
      <c r="N138" s="178"/>
      <c r="O138" s="179">
        <v>1400</v>
      </c>
      <c r="P138" s="177"/>
      <c r="Q138" s="177"/>
      <c r="R138" s="178"/>
      <c r="S138" s="176">
        <v>1400</v>
      </c>
      <c r="T138" s="177"/>
      <c r="U138" s="177"/>
      <c r="V138" s="178"/>
      <c r="W138" s="153">
        <f t="shared" si="6"/>
        <v>5320</v>
      </c>
      <c r="X138" s="154"/>
      <c r="Y138" s="154"/>
      <c r="Z138" s="155"/>
      <c r="AA138" s="125" t="s">
        <v>54</v>
      </c>
      <c r="AB138" s="126"/>
      <c r="AC138" s="126"/>
      <c r="AD138" s="126"/>
      <c r="AE138" s="126"/>
      <c r="AF138" s="126"/>
      <c r="AG138" s="180">
        <f>(AG137-$L$2)*W137/100</f>
        <v>0</v>
      </c>
      <c r="AH138" s="180"/>
      <c r="AI138" s="181"/>
      <c r="AJ138" s="2" t="s">
        <v>284</v>
      </c>
    </row>
    <row r="139" spans="1:43" ht="12.75">
      <c r="A139" s="144"/>
      <c r="B139" s="125" t="s">
        <v>29</v>
      </c>
      <c r="C139" s="126"/>
      <c r="D139" s="126"/>
      <c r="E139" s="126"/>
      <c r="F139" s="161"/>
      <c r="G139" s="156">
        <f>IF(G137&lt;=G138,$N$2+G138/100*($Q$2+$T$2)+$AI146/$AG143+$AI148+IF(AI145&gt;0,AI145,0),$N$2+G138/100*$Q$2+$AI146/$AG143+$AI148+IF(AI145&gt;0,AI145,0))</f>
        <v>29</v>
      </c>
      <c r="H139" s="157"/>
      <c r="I139" s="157"/>
      <c r="J139" s="158"/>
      <c r="K139" s="156">
        <f>IF(K137&lt;=K138,$N$2+K138/100*($Q$2+$T$2)+$AI146/$AG143+$AI148,$N$2+K138/100*$Q$2+$AI146/$AG143+$AI148)</f>
        <v>27.599999999999998</v>
      </c>
      <c r="L139" s="157"/>
      <c r="M139" s="157"/>
      <c r="N139" s="158"/>
      <c r="O139" s="156">
        <f>IF(O137&lt;=O138,$N$2+O138/100*($Q$2+$T$2)+$AI146/$AG143+$AI148,$N$2+O138/100*$Q$2+$AI146/$AG143+$AI148)</f>
        <v>27.599999999999998</v>
      </c>
      <c r="P139" s="157"/>
      <c r="Q139" s="157"/>
      <c r="R139" s="158"/>
      <c r="S139" s="156">
        <f>IF(S137&lt;=S138,$N$2+S138/100*($Q$2+$T$2)+$AI146/$AG143+$AI148,$N$2+S138/100*$Q$2+$AI146/$AG143+$AI148)</f>
        <v>27.599999999999998</v>
      </c>
      <c r="T139" s="157"/>
      <c r="U139" s="157"/>
      <c r="V139" s="158"/>
      <c r="W139" s="153">
        <f t="shared" si="6"/>
        <v>111.79999999999998</v>
      </c>
      <c r="X139" s="154"/>
      <c r="Y139" s="154"/>
      <c r="Z139" s="155"/>
      <c r="AA139" s="205" t="s">
        <v>55</v>
      </c>
      <c r="AB139" s="126"/>
      <c r="AC139" s="126"/>
      <c r="AD139" s="126"/>
      <c r="AE139" s="126"/>
      <c r="AF139" s="126"/>
      <c r="AG139" s="122">
        <f>SUM(AJ140:AQ140)+AG138</f>
        <v>0</v>
      </c>
      <c r="AH139" s="123"/>
      <c r="AI139" s="124"/>
      <c r="AJ139" s="225">
        <f>$N$2+G137*($Q$2+$T$2+$T$3/$AG143)/100+$T$5*$W137/100</f>
        <v>29</v>
      </c>
      <c r="AK139" s="226"/>
      <c r="AL139" s="225">
        <f>$N$2+K137*($Q$2+$T$2+$T$3/$AG143)/100</f>
        <v>27.599999999999998</v>
      </c>
      <c r="AM139" s="226"/>
      <c r="AN139" s="225">
        <f>$N$2+O137*($Q$2+$T$2+$T$3/$AG143)/100</f>
        <v>27.599999999999998</v>
      </c>
      <c r="AO139" s="226"/>
      <c r="AP139" s="225">
        <f>$N$2+S137*($Q$2+$T$2+$T$3/$AG143)/100</f>
        <v>27.599999999999998</v>
      </c>
      <c r="AQ139" s="226"/>
    </row>
    <row r="140" spans="1:43" ht="12.75">
      <c r="A140" s="144"/>
      <c r="B140" s="125" t="s">
        <v>10</v>
      </c>
      <c r="C140" s="126"/>
      <c r="D140" s="126"/>
      <c r="E140" s="126"/>
      <c r="F140" s="161"/>
      <c r="G140" s="169">
        <v>8</v>
      </c>
      <c r="H140" s="167"/>
      <c r="I140" s="167"/>
      <c r="J140" s="168"/>
      <c r="K140" s="166">
        <v>8</v>
      </c>
      <c r="L140" s="167"/>
      <c r="M140" s="167"/>
      <c r="N140" s="168"/>
      <c r="O140" s="169">
        <v>8</v>
      </c>
      <c r="P140" s="167"/>
      <c r="Q140" s="167"/>
      <c r="R140" s="168"/>
      <c r="S140" s="166">
        <v>8</v>
      </c>
      <c r="T140" s="167"/>
      <c r="U140" s="167"/>
      <c r="V140" s="168"/>
      <c r="W140" s="153">
        <f t="shared" si="6"/>
        <v>32</v>
      </c>
      <c r="X140" s="154"/>
      <c r="Y140" s="154"/>
      <c r="Z140" s="155"/>
      <c r="AA140" s="205" t="s">
        <v>56</v>
      </c>
      <c r="AB140" s="126"/>
      <c r="AC140" s="126"/>
      <c r="AD140" s="126"/>
      <c r="AE140" s="126"/>
      <c r="AF140" s="126"/>
      <c r="AG140" s="134">
        <f>W147+AG139</f>
        <v>3.552713678800501E-15</v>
      </c>
      <c r="AH140" s="134"/>
      <c r="AI140" s="135"/>
      <c r="AJ140" s="225">
        <f>IF(AJ139&gt;G140,0,G140-AJ139)</f>
        <v>0</v>
      </c>
      <c r="AK140" s="226"/>
      <c r="AL140" s="225">
        <f>IF(AL139&gt;K140,0,K140-AL139)</f>
        <v>0</v>
      </c>
      <c r="AM140" s="226"/>
      <c r="AN140" s="225">
        <f>IF(AN139&gt;O140,0,O140-AN139)</f>
        <v>0</v>
      </c>
      <c r="AO140" s="226"/>
      <c r="AP140" s="225">
        <f>IF(AP139&gt;S140,0,S140-AP139)</f>
        <v>0</v>
      </c>
      <c r="AQ140" s="226"/>
    </row>
    <row r="141" spans="1:35" ht="13.5" thickBot="1">
      <c r="A141" s="144"/>
      <c r="B141" s="125" t="s">
        <v>58</v>
      </c>
      <c r="C141" s="126"/>
      <c r="D141" s="126"/>
      <c r="E141" s="126"/>
      <c r="F141" s="161"/>
      <c r="G141" s="156">
        <f>IF(G139&lt;G140,G140,G139)</f>
        <v>29</v>
      </c>
      <c r="H141" s="157"/>
      <c r="I141" s="157"/>
      <c r="J141" s="158"/>
      <c r="K141" s="156">
        <f>IF(K139&lt;K140,K140,K139)</f>
        <v>27.599999999999998</v>
      </c>
      <c r="L141" s="157"/>
      <c r="M141" s="157"/>
      <c r="N141" s="158"/>
      <c r="O141" s="156">
        <f>IF(O139&lt;O140,O140,O139)</f>
        <v>27.599999999999998</v>
      </c>
      <c r="P141" s="157"/>
      <c r="Q141" s="157"/>
      <c r="R141" s="158"/>
      <c r="S141" s="156">
        <f>IF(S139&lt;S140,S140,S139)</f>
        <v>27.599999999999998</v>
      </c>
      <c r="T141" s="157"/>
      <c r="U141" s="157"/>
      <c r="V141" s="158"/>
      <c r="W141" s="153">
        <f t="shared" si="6"/>
        <v>111.79999999999998</v>
      </c>
      <c r="X141" s="154"/>
      <c r="Y141" s="154"/>
      <c r="Z141" s="155"/>
      <c r="AA141" s="232" t="s">
        <v>57</v>
      </c>
      <c r="AB141" s="90"/>
      <c r="AC141" s="90"/>
      <c r="AD141" s="90"/>
      <c r="AE141" s="90"/>
      <c r="AF141" s="90"/>
      <c r="AG141" s="91">
        <f>-AG139+AG140-W148</f>
        <v>3.552713678800501E-15</v>
      </c>
      <c r="AH141" s="91"/>
      <c r="AI141" s="85"/>
    </row>
    <row r="142" spans="1:35" ht="13.5" thickBot="1">
      <c r="A142" s="144"/>
      <c r="B142" s="125" t="s">
        <v>41</v>
      </c>
      <c r="C142" s="126"/>
      <c r="D142" s="126"/>
      <c r="E142" s="126"/>
      <c r="F142" s="161"/>
      <c r="G142" s="156">
        <v>20</v>
      </c>
      <c r="H142" s="157"/>
      <c r="I142" s="157"/>
      <c r="J142" s="158"/>
      <c r="K142" s="156">
        <v>20</v>
      </c>
      <c r="L142" s="157"/>
      <c r="M142" s="157"/>
      <c r="N142" s="158"/>
      <c r="O142" s="156">
        <v>20</v>
      </c>
      <c r="P142" s="157"/>
      <c r="Q142" s="157"/>
      <c r="R142" s="158"/>
      <c r="S142" s="156">
        <v>20</v>
      </c>
      <c r="T142" s="157"/>
      <c r="U142" s="157"/>
      <c r="V142" s="158"/>
      <c r="W142" s="153">
        <f t="shared" si="6"/>
        <v>80</v>
      </c>
      <c r="X142" s="154"/>
      <c r="Y142" s="154"/>
      <c r="Z142" s="155"/>
      <c r="AA142" s="230" t="s">
        <v>59</v>
      </c>
      <c r="AB142" s="231"/>
      <c r="AC142" s="231"/>
      <c r="AD142" s="231"/>
      <c r="AE142" s="231"/>
      <c r="AF142" s="231"/>
      <c r="AG142" s="88">
        <f>AG139+AG141</f>
        <v>3.552713678800501E-15</v>
      </c>
      <c r="AH142" s="89"/>
      <c r="AI142" s="84"/>
    </row>
    <row r="143" spans="1:35" ht="12.75">
      <c r="A143" s="144"/>
      <c r="B143" s="125" t="s">
        <v>42</v>
      </c>
      <c r="C143" s="126"/>
      <c r="D143" s="126"/>
      <c r="E143" s="126"/>
      <c r="F143" s="161"/>
      <c r="G143" s="169">
        <v>20</v>
      </c>
      <c r="H143" s="167"/>
      <c r="I143" s="167"/>
      <c r="J143" s="168"/>
      <c r="K143" s="166">
        <v>20</v>
      </c>
      <c r="L143" s="167"/>
      <c r="M143" s="167"/>
      <c r="N143" s="168"/>
      <c r="O143" s="169">
        <v>20</v>
      </c>
      <c r="P143" s="167"/>
      <c r="Q143" s="167"/>
      <c r="R143" s="168"/>
      <c r="S143" s="166">
        <v>20</v>
      </c>
      <c r="T143" s="167"/>
      <c r="U143" s="167"/>
      <c r="V143" s="168"/>
      <c r="W143" s="153">
        <f t="shared" si="6"/>
        <v>80</v>
      </c>
      <c r="X143" s="154"/>
      <c r="Y143" s="154"/>
      <c r="Z143" s="155"/>
      <c r="AA143" s="228" t="s">
        <v>279</v>
      </c>
      <c r="AB143" s="229"/>
      <c r="AC143" s="229"/>
      <c r="AD143" s="229"/>
      <c r="AE143" s="229"/>
      <c r="AF143" s="229"/>
      <c r="AG143" s="95">
        <v>4</v>
      </c>
      <c r="AH143" s="95"/>
      <c r="AI143" s="95"/>
    </row>
    <row r="144" spans="1:35" ht="12.75">
      <c r="A144" s="144"/>
      <c r="B144" s="125" t="s">
        <v>43</v>
      </c>
      <c r="C144" s="126"/>
      <c r="D144" s="126"/>
      <c r="E144" s="126"/>
      <c r="F144" s="161"/>
      <c r="G144" s="165">
        <f>G142-G143</f>
        <v>0</v>
      </c>
      <c r="H144" s="163"/>
      <c r="I144" s="163"/>
      <c r="J144" s="164"/>
      <c r="K144" s="165">
        <f>K142-K143</f>
        <v>0</v>
      </c>
      <c r="L144" s="163"/>
      <c r="M144" s="163"/>
      <c r="N144" s="164"/>
      <c r="O144" s="165">
        <f>O142-O143</f>
        <v>0</v>
      </c>
      <c r="P144" s="163"/>
      <c r="Q144" s="163"/>
      <c r="R144" s="164"/>
      <c r="S144" s="165">
        <f>S142-S143</f>
        <v>0</v>
      </c>
      <c r="T144" s="163"/>
      <c r="U144" s="163"/>
      <c r="V144" s="164"/>
      <c r="W144" s="153">
        <f t="shared" si="6"/>
        <v>0</v>
      </c>
      <c r="X144" s="154"/>
      <c r="Y144" s="154"/>
      <c r="Z144" s="155"/>
      <c r="AA144" s="132">
        <f>W138*$L$2/100-AI149</f>
        <v>191.8</v>
      </c>
      <c r="AB144" s="233"/>
      <c r="AC144" s="233"/>
      <c r="AD144" s="233"/>
      <c r="AE144" s="233"/>
      <c r="AF144" s="233"/>
      <c r="AG144" s="233"/>
      <c r="AH144" s="233"/>
      <c r="AI144" s="233"/>
    </row>
    <row r="145" spans="1:38" ht="12.75">
      <c r="A145" s="144"/>
      <c r="B145" s="125" t="s">
        <v>30</v>
      </c>
      <c r="C145" s="126"/>
      <c r="D145" s="126"/>
      <c r="E145" s="126"/>
      <c r="F145" s="161"/>
      <c r="G145" s="156">
        <f>G138*$L$2/100-AA149</f>
        <v>40.37894736842105</v>
      </c>
      <c r="H145" s="157"/>
      <c r="I145" s="157"/>
      <c r="J145" s="158"/>
      <c r="K145" s="156">
        <f>K138*$L$2/100-AC149</f>
        <v>50.473684210526315</v>
      </c>
      <c r="L145" s="157"/>
      <c r="M145" s="157"/>
      <c r="N145" s="158"/>
      <c r="O145" s="156">
        <f>O138*$L$2/100-AE149</f>
        <v>50.473684210526315</v>
      </c>
      <c r="P145" s="157"/>
      <c r="Q145" s="157"/>
      <c r="R145" s="158"/>
      <c r="S145" s="156">
        <f>S138*$L$2/100-AG149</f>
        <v>50.473684210526315</v>
      </c>
      <c r="T145" s="157"/>
      <c r="U145" s="157"/>
      <c r="V145" s="158"/>
      <c r="W145" s="153">
        <f t="shared" si="6"/>
        <v>191.8</v>
      </c>
      <c r="X145" s="154"/>
      <c r="Y145" s="154"/>
      <c r="Z145" s="155"/>
      <c r="AA145" s="101">
        <f>IF(G138&lt;G137,$T$5*(G138-G137)*$L$3/100,$T$5*G138/100)</f>
        <v>1.12</v>
      </c>
      <c r="AB145" s="101"/>
      <c r="AC145" s="101">
        <f>IF(K138&lt;K137,$T$5*(K138-K137)*$L$3/100,$T$5*K138/100)</f>
        <v>1.4</v>
      </c>
      <c r="AD145" s="101"/>
      <c r="AE145" s="101">
        <f>IF(O138&lt;O137,$T$5*(O138-O137)*$L$3/100,$T$5*O138/100)</f>
        <v>1.4</v>
      </c>
      <c r="AF145" s="101"/>
      <c r="AG145" s="101">
        <f>IF(S138&lt;S137,$T$5*(S138-S137)*$L$3/100,$T$5*S138/100)</f>
        <v>1.4</v>
      </c>
      <c r="AH145" s="101"/>
      <c r="AI145" s="97">
        <f>SUM(AA145:AH145)</f>
        <v>5.32</v>
      </c>
      <c r="AJ145" s="98"/>
      <c r="AK145" s="98"/>
      <c r="AL145" s="2" t="s">
        <v>277</v>
      </c>
    </row>
    <row r="146" spans="1:38" ht="12.75">
      <c r="A146" s="144"/>
      <c r="B146" s="125" t="s">
        <v>283</v>
      </c>
      <c r="C146" s="126"/>
      <c r="D146" s="126"/>
      <c r="E146" s="126"/>
      <c r="F146" s="161"/>
      <c r="G146" s="156">
        <f>G145-G142-G141+$AI148</f>
        <v>-8.621052631578948</v>
      </c>
      <c r="H146" s="157"/>
      <c r="I146" s="157"/>
      <c r="J146" s="158"/>
      <c r="K146" s="156">
        <f>K145-K142-K141+$AI148</f>
        <v>2.873684210526317</v>
      </c>
      <c r="L146" s="157"/>
      <c r="M146" s="157"/>
      <c r="N146" s="158"/>
      <c r="O146" s="156">
        <f>O145-O142-O141+$AI148</f>
        <v>2.873684210526317</v>
      </c>
      <c r="P146" s="157"/>
      <c r="Q146" s="157"/>
      <c r="R146" s="158"/>
      <c r="S146" s="156">
        <f>S145-S142-S141+$AI148</f>
        <v>2.873684210526317</v>
      </c>
      <c r="T146" s="157"/>
      <c r="U146" s="157"/>
      <c r="V146" s="158"/>
      <c r="W146" s="153">
        <f t="shared" si="6"/>
        <v>3.552713678800501E-15</v>
      </c>
      <c r="X146" s="154"/>
      <c r="Y146" s="154"/>
      <c r="Z146" s="159"/>
      <c r="AA146" s="101">
        <f>IF(G138&lt;G137,0,$T$3*G138/100)</f>
        <v>0</v>
      </c>
      <c r="AB146" s="101"/>
      <c r="AC146" s="101">
        <f>IF(K138&lt;K137,0,$T$3*K138/100)</f>
        <v>0</v>
      </c>
      <c r="AD146" s="101"/>
      <c r="AE146" s="101">
        <f>IF(O138&lt;O137,0,$T$3*O138/100)</f>
        <v>0</v>
      </c>
      <c r="AF146" s="101"/>
      <c r="AG146" s="101">
        <f>IF(S138&lt;S137,0,$T$3*S138/100)</f>
        <v>0</v>
      </c>
      <c r="AH146" s="101"/>
      <c r="AI146" s="97">
        <f>SUM(AA146:AH146)</f>
        <v>0</v>
      </c>
      <c r="AJ146" s="98"/>
      <c r="AK146" s="98"/>
      <c r="AL146" s="2" t="s">
        <v>248</v>
      </c>
    </row>
    <row r="147" spans="1:38" ht="12.75">
      <c r="A147" s="144"/>
      <c r="B147" s="125" t="s">
        <v>45</v>
      </c>
      <c r="C147" s="126"/>
      <c r="D147" s="126"/>
      <c r="E147" s="126"/>
      <c r="F147" s="161"/>
      <c r="G147" s="156">
        <f>G146+G144</f>
        <v>-8.621052631578948</v>
      </c>
      <c r="H147" s="157"/>
      <c r="I147" s="157"/>
      <c r="J147" s="158"/>
      <c r="K147" s="156">
        <f>K146+K144</f>
        <v>2.873684210526317</v>
      </c>
      <c r="L147" s="157"/>
      <c r="M147" s="157"/>
      <c r="N147" s="158"/>
      <c r="O147" s="156">
        <f>O146+O144</f>
        <v>2.873684210526317</v>
      </c>
      <c r="P147" s="157"/>
      <c r="Q147" s="157"/>
      <c r="R147" s="158"/>
      <c r="S147" s="156">
        <f>S146+S144</f>
        <v>2.873684210526317</v>
      </c>
      <c r="T147" s="157"/>
      <c r="U147" s="157"/>
      <c r="V147" s="158"/>
      <c r="W147" s="153">
        <f t="shared" si="6"/>
        <v>3.552713678800501E-15</v>
      </c>
      <c r="X147" s="154"/>
      <c r="Y147" s="154"/>
      <c r="Z147" s="155"/>
      <c r="AA147" s="101">
        <f>IF(G138&lt;G137,0,$T$4*G138/100)</f>
        <v>0</v>
      </c>
      <c r="AB147" s="101"/>
      <c r="AC147" s="101">
        <f>IF(K138&lt;K137,0,$T$4*K138/100)</f>
        <v>0</v>
      </c>
      <c r="AD147" s="101"/>
      <c r="AE147" s="101">
        <f>IF(O138&lt;O137,0,$T$4*O138/100)</f>
        <v>0</v>
      </c>
      <c r="AF147" s="101"/>
      <c r="AG147" s="101">
        <f>IF(S138&lt;S137,0,$T$4*S138/100)</f>
        <v>0</v>
      </c>
      <c r="AH147" s="101"/>
      <c r="AI147" s="97">
        <f>SUM(AA147:AH147)</f>
        <v>0</v>
      </c>
      <c r="AJ147" s="98"/>
      <c r="AK147" s="98"/>
      <c r="AL147" s="2" t="s">
        <v>281</v>
      </c>
    </row>
    <row r="148" spans="1:38" ht="12.75">
      <c r="A148" s="144"/>
      <c r="B148" s="194" t="s">
        <v>26</v>
      </c>
      <c r="C148" s="98"/>
      <c r="D148" s="98"/>
      <c r="E148" s="98"/>
      <c r="F148" s="195"/>
      <c r="G148" s="196">
        <f>$AG140/100*$AL$3</f>
        <v>0</v>
      </c>
      <c r="H148" s="197"/>
      <c r="I148" s="197"/>
      <c r="J148" s="198"/>
      <c r="K148" s="196">
        <f>$AG140/100*$AL$3</f>
        <v>0</v>
      </c>
      <c r="L148" s="197"/>
      <c r="M148" s="197"/>
      <c r="N148" s="198"/>
      <c r="O148" s="196">
        <f>$AG140/100*$AL$3</f>
        <v>0</v>
      </c>
      <c r="P148" s="197"/>
      <c r="Q148" s="197"/>
      <c r="R148" s="198"/>
      <c r="S148" s="196">
        <f>$AG140/100*$AL$3</f>
        <v>0</v>
      </c>
      <c r="T148" s="197"/>
      <c r="U148" s="197"/>
      <c r="V148" s="198"/>
      <c r="W148" s="153">
        <f t="shared" si="6"/>
        <v>0</v>
      </c>
      <c r="X148" s="154"/>
      <c r="Y148" s="154"/>
      <c r="Z148" s="155"/>
      <c r="AI148" s="224">
        <f>'ЦФУ Продажи'!AK$59</f>
        <v>0</v>
      </c>
      <c r="AJ148" s="224"/>
      <c r="AK148" s="224"/>
      <c r="AL148" s="2" t="s">
        <v>280</v>
      </c>
    </row>
    <row r="149" spans="1:38" ht="13.5" thickBot="1">
      <c r="A149" s="145"/>
      <c r="B149" s="191" t="s">
        <v>28</v>
      </c>
      <c r="C149" s="192"/>
      <c r="D149" s="192"/>
      <c r="E149" s="192"/>
      <c r="F149" s="193"/>
      <c r="G149" s="149">
        <f>IF(G148&lt;0,G141,G141+G148)</f>
        <v>29</v>
      </c>
      <c r="H149" s="147"/>
      <c r="I149" s="147"/>
      <c r="J149" s="148"/>
      <c r="K149" s="146">
        <v>0</v>
      </c>
      <c r="L149" s="147"/>
      <c r="M149" s="147"/>
      <c r="N149" s="148"/>
      <c r="O149" s="149">
        <f>IF(O148&lt;0,O141,O141+O148)</f>
        <v>27.599999999999998</v>
      </c>
      <c r="P149" s="147"/>
      <c r="Q149" s="147"/>
      <c r="R149" s="148"/>
      <c r="S149" s="146">
        <f>IF(S148&lt;0,S141,S141+S148)</f>
        <v>27.599999999999998</v>
      </c>
      <c r="T149" s="147"/>
      <c r="U149" s="147"/>
      <c r="V149" s="148"/>
      <c r="W149" s="150">
        <f t="shared" si="6"/>
        <v>84.19999999999999</v>
      </c>
      <c r="X149" s="151"/>
      <c r="Y149" s="151"/>
      <c r="Z149" s="152"/>
      <c r="AA149" s="101">
        <f>IF($AI145&gt;0,IF(AA145&gt;=0,0,G138*($T$2+$T$3+$T$5)/100-AA145),IF(G138&lt;G137,G138*($T$2+$T$3+$T$5)/100,AA145))</f>
        <v>0</v>
      </c>
      <c r="AB149" s="101"/>
      <c r="AC149" s="101">
        <f>IF($AI145&gt;=0,IF(AC145&gt;=0,0,K138*($T$2+$T$3+$T$4+$T$5)/100-AC145),IF(AC145&lt;0,K138*($T$2+$T$3+$T$4+$T$5)/100,AC145))</f>
        <v>0</v>
      </c>
      <c r="AD149" s="101"/>
      <c r="AE149" s="101">
        <f>IF($AI145&gt;=0,IF(AE145&gt;=0,0,O138*($T$2+$T$3+$T$4+$T$5)/100-AE145),IF(AE145&lt;0,O138*($T$2+$T$3+$T$4+$T$5)/100,AE145))</f>
        <v>0</v>
      </c>
      <c r="AF149" s="101"/>
      <c r="AG149" s="101">
        <f>IF($AI145&gt;=0,IF(AG145&gt;=0,0,S138*($T$2+$T$3+$T$4+$T$5)/100-AG145),IF(AG145&lt;0,S138*($T$2+$T$3+$T$4+$T$5)/100,AG145))</f>
        <v>0</v>
      </c>
      <c r="AH149" s="101"/>
      <c r="AI149" s="97">
        <f>SUM(AA149:AH149)</f>
        <v>0</v>
      </c>
      <c r="AJ149" s="98"/>
      <c r="AK149" s="98"/>
      <c r="AL149" s="2" t="s">
        <v>218</v>
      </c>
    </row>
  </sheetData>
  <mergeCells count="1401">
    <mergeCell ref="AJ140:AK140"/>
    <mergeCell ref="AL140:AM140"/>
    <mergeCell ref="AN140:AO140"/>
    <mergeCell ref="AP140:AQ140"/>
    <mergeCell ref="AJ139:AK139"/>
    <mergeCell ref="AL139:AM139"/>
    <mergeCell ref="AN139:AO139"/>
    <mergeCell ref="AP139:AQ139"/>
    <mergeCell ref="AJ127:AK127"/>
    <mergeCell ref="AL127:AM127"/>
    <mergeCell ref="AN127:AO127"/>
    <mergeCell ref="AP127:AQ127"/>
    <mergeCell ref="AJ126:AK126"/>
    <mergeCell ref="AL126:AM126"/>
    <mergeCell ref="AN126:AO126"/>
    <mergeCell ref="AP126:AQ126"/>
    <mergeCell ref="AJ114:AK114"/>
    <mergeCell ref="AL114:AM114"/>
    <mergeCell ref="AN114:AO114"/>
    <mergeCell ref="AP114:AQ114"/>
    <mergeCell ref="AJ113:AK113"/>
    <mergeCell ref="AL113:AM113"/>
    <mergeCell ref="AN113:AO113"/>
    <mergeCell ref="AP113:AQ113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J88:AK88"/>
    <mergeCell ref="AL88:AM88"/>
    <mergeCell ref="AN88:AO88"/>
    <mergeCell ref="AP88:AQ88"/>
    <mergeCell ref="AJ87:AK87"/>
    <mergeCell ref="AL87:AM87"/>
    <mergeCell ref="AN87:AO87"/>
    <mergeCell ref="AP87:AQ87"/>
    <mergeCell ref="AJ75:AK75"/>
    <mergeCell ref="AL75:AM75"/>
    <mergeCell ref="AN75:AO75"/>
    <mergeCell ref="AP75:AQ75"/>
    <mergeCell ref="AJ74:AK74"/>
    <mergeCell ref="AL74:AM74"/>
    <mergeCell ref="AN74:AO74"/>
    <mergeCell ref="AP74:AQ74"/>
    <mergeCell ref="AJ62:AK62"/>
    <mergeCell ref="AL62:AM62"/>
    <mergeCell ref="AN62:AO62"/>
    <mergeCell ref="AP62:AQ62"/>
    <mergeCell ref="AJ61:AK61"/>
    <mergeCell ref="AL61:AM61"/>
    <mergeCell ref="AN61:AO61"/>
    <mergeCell ref="AP61:AQ61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J36:AK36"/>
    <mergeCell ref="AL36:AM36"/>
    <mergeCell ref="AN36:AO36"/>
    <mergeCell ref="AP36:AQ36"/>
    <mergeCell ref="AJ35:AK35"/>
    <mergeCell ref="AL35:AM35"/>
    <mergeCell ref="AN35:AO35"/>
    <mergeCell ref="AP35:AQ35"/>
    <mergeCell ref="AJ23:AK23"/>
    <mergeCell ref="AL23:AM23"/>
    <mergeCell ref="AN23:AO23"/>
    <mergeCell ref="AP23:AQ23"/>
    <mergeCell ref="AJ22:AK22"/>
    <mergeCell ref="AL22:AM22"/>
    <mergeCell ref="AN22:AO22"/>
    <mergeCell ref="AP22:AQ22"/>
    <mergeCell ref="AJ10:AK10"/>
    <mergeCell ref="AL10:AM10"/>
    <mergeCell ref="AN10:AO10"/>
    <mergeCell ref="AP10:AQ10"/>
    <mergeCell ref="AJ9:AK9"/>
    <mergeCell ref="AL9:AM9"/>
    <mergeCell ref="AN9:AO9"/>
    <mergeCell ref="AP9:AQ9"/>
    <mergeCell ref="AI122:AK122"/>
    <mergeCell ref="AI135:AK135"/>
    <mergeCell ref="AI148:AK148"/>
    <mergeCell ref="AI70:AK70"/>
    <mergeCell ref="AI83:AK83"/>
    <mergeCell ref="AI96:AK96"/>
    <mergeCell ref="AI109:AK109"/>
    <mergeCell ref="AG75:AI75"/>
    <mergeCell ref="AG88:AI88"/>
    <mergeCell ref="AG101:AI101"/>
    <mergeCell ref="AI69:AK69"/>
    <mergeCell ref="AI18:AK18"/>
    <mergeCell ref="AI31:AK31"/>
    <mergeCell ref="AI44:AK44"/>
    <mergeCell ref="AI57:AK57"/>
    <mergeCell ref="AG23:AI23"/>
    <mergeCell ref="AG36:AI36"/>
    <mergeCell ref="AG49:AI49"/>
    <mergeCell ref="AG62:AI62"/>
    <mergeCell ref="AI30:AK30"/>
    <mergeCell ref="AA69:AB69"/>
    <mergeCell ref="AC69:AD69"/>
    <mergeCell ref="AE69:AF69"/>
    <mergeCell ref="AG69:AH69"/>
    <mergeCell ref="A1:K1"/>
    <mergeCell ref="L1:M1"/>
    <mergeCell ref="N1:P1"/>
    <mergeCell ref="Q1:S1"/>
    <mergeCell ref="T1:V1"/>
    <mergeCell ref="W1:AG1"/>
    <mergeCell ref="AH1:AW1"/>
    <mergeCell ref="AX1:BA1"/>
    <mergeCell ref="A2:K2"/>
    <mergeCell ref="L2:M2"/>
    <mergeCell ref="N2:P2"/>
    <mergeCell ref="Q2:S2"/>
    <mergeCell ref="T2:V2"/>
    <mergeCell ref="W2:AG4"/>
    <mergeCell ref="AH2:AK2"/>
    <mergeCell ref="AL2:AO2"/>
    <mergeCell ref="AP2:AS2"/>
    <mergeCell ref="AT2:AW2"/>
    <mergeCell ref="AX2:BA4"/>
    <mergeCell ref="A3:K3"/>
    <mergeCell ref="L3:M3"/>
    <mergeCell ref="N3:P3"/>
    <mergeCell ref="Q3:S3"/>
    <mergeCell ref="T3:V3"/>
    <mergeCell ref="AH3:AK3"/>
    <mergeCell ref="AL3:AO3"/>
    <mergeCell ref="AP3:AS3"/>
    <mergeCell ref="AT3:AW3"/>
    <mergeCell ref="A4:K4"/>
    <mergeCell ref="L4:M4"/>
    <mergeCell ref="N4:P4"/>
    <mergeCell ref="Q4:S4"/>
    <mergeCell ref="T4:V4"/>
    <mergeCell ref="AH4:AK4"/>
    <mergeCell ref="AL4:AO4"/>
    <mergeCell ref="AP4:AS4"/>
    <mergeCell ref="AT4:AW4"/>
    <mergeCell ref="A6:F6"/>
    <mergeCell ref="G6:J6"/>
    <mergeCell ref="K6:N6"/>
    <mergeCell ref="O6:R6"/>
    <mergeCell ref="S6:V6"/>
    <mergeCell ref="W6:Z6"/>
    <mergeCell ref="AA6:AI6"/>
    <mergeCell ref="T5:V5"/>
    <mergeCell ref="Q5:S5"/>
    <mergeCell ref="S7:V7"/>
    <mergeCell ref="W7:Z7"/>
    <mergeCell ref="AA7:AF7"/>
    <mergeCell ref="A7:A19"/>
    <mergeCell ref="B7:F7"/>
    <mergeCell ref="G7:J7"/>
    <mergeCell ref="K7:N7"/>
    <mergeCell ref="B9:F9"/>
    <mergeCell ref="G9:J9"/>
    <mergeCell ref="K9:N9"/>
    <mergeCell ref="AG7:AI7"/>
    <mergeCell ref="B8:F8"/>
    <mergeCell ref="G8:J8"/>
    <mergeCell ref="K8:N8"/>
    <mergeCell ref="O8:R8"/>
    <mergeCell ref="S8:V8"/>
    <mergeCell ref="W8:Z8"/>
    <mergeCell ref="AA8:AF8"/>
    <mergeCell ref="AG8:AI8"/>
    <mergeCell ref="O7:R7"/>
    <mergeCell ref="O9:R9"/>
    <mergeCell ref="S9:V9"/>
    <mergeCell ref="W9:Z9"/>
    <mergeCell ref="AA9:AF9"/>
    <mergeCell ref="B10:F10"/>
    <mergeCell ref="G10:J10"/>
    <mergeCell ref="K10:N10"/>
    <mergeCell ref="O10:R10"/>
    <mergeCell ref="AG9:AI9"/>
    <mergeCell ref="S10:V10"/>
    <mergeCell ref="W10:Z10"/>
    <mergeCell ref="AA10:AF10"/>
    <mergeCell ref="AG10:AI10"/>
    <mergeCell ref="AA12:AF12"/>
    <mergeCell ref="AG12:AI12"/>
    <mergeCell ref="S11:V11"/>
    <mergeCell ref="W11:Z11"/>
    <mergeCell ref="AA11:AF11"/>
    <mergeCell ref="AG11:AI11"/>
    <mergeCell ref="S12:V12"/>
    <mergeCell ref="W12:Z12"/>
    <mergeCell ref="B11:F11"/>
    <mergeCell ref="B14:F14"/>
    <mergeCell ref="G14:J14"/>
    <mergeCell ref="K14:N14"/>
    <mergeCell ref="B13:F13"/>
    <mergeCell ref="G13:J13"/>
    <mergeCell ref="K13:N13"/>
    <mergeCell ref="B12:F12"/>
    <mergeCell ref="G12:J12"/>
    <mergeCell ref="K12:N12"/>
    <mergeCell ref="O14:R14"/>
    <mergeCell ref="G11:J11"/>
    <mergeCell ref="K11:N11"/>
    <mergeCell ref="O11:R11"/>
    <mergeCell ref="O13:R13"/>
    <mergeCell ref="O12:R12"/>
    <mergeCell ref="B15:F15"/>
    <mergeCell ref="G15:J15"/>
    <mergeCell ref="K15:N15"/>
    <mergeCell ref="O15:R15"/>
    <mergeCell ref="B16:F16"/>
    <mergeCell ref="G16:J16"/>
    <mergeCell ref="K16:N16"/>
    <mergeCell ref="O16:R16"/>
    <mergeCell ref="S16:V16"/>
    <mergeCell ref="W16:Z16"/>
    <mergeCell ref="S17:V17"/>
    <mergeCell ref="W17:Z17"/>
    <mergeCell ref="S18:V18"/>
    <mergeCell ref="W18:Z18"/>
    <mergeCell ref="B17:F17"/>
    <mergeCell ref="G17:J17"/>
    <mergeCell ref="B18:F18"/>
    <mergeCell ref="G18:J18"/>
    <mergeCell ref="K18:N18"/>
    <mergeCell ref="O18:R18"/>
    <mergeCell ref="K17:N17"/>
    <mergeCell ref="O17:R17"/>
    <mergeCell ref="B19:F19"/>
    <mergeCell ref="G19:J19"/>
    <mergeCell ref="K19:N19"/>
    <mergeCell ref="O19:R19"/>
    <mergeCell ref="S19:V19"/>
    <mergeCell ref="W19:Z19"/>
    <mergeCell ref="A20:A32"/>
    <mergeCell ref="B20:F20"/>
    <mergeCell ref="G20:J20"/>
    <mergeCell ref="K20:N20"/>
    <mergeCell ref="O20:R20"/>
    <mergeCell ref="S20:V20"/>
    <mergeCell ref="W20:Z20"/>
    <mergeCell ref="B22:F22"/>
    <mergeCell ref="S21:V21"/>
    <mergeCell ref="W21:Z21"/>
    <mergeCell ref="AA21:AF21"/>
    <mergeCell ref="AG21:AI21"/>
    <mergeCell ref="B21:F21"/>
    <mergeCell ref="G21:J21"/>
    <mergeCell ref="K21:N21"/>
    <mergeCell ref="O21:R21"/>
    <mergeCell ref="G22:J22"/>
    <mergeCell ref="K22:N22"/>
    <mergeCell ref="O22:R22"/>
    <mergeCell ref="S22:V22"/>
    <mergeCell ref="W22:Z22"/>
    <mergeCell ref="AA22:AF22"/>
    <mergeCell ref="AG22:AI22"/>
    <mergeCell ref="B23:F23"/>
    <mergeCell ref="G23:J23"/>
    <mergeCell ref="K23:N23"/>
    <mergeCell ref="O23:R23"/>
    <mergeCell ref="S23:V23"/>
    <mergeCell ref="W23:Z23"/>
    <mergeCell ref="AA23:AF23"/>
    <mergeCell ref="B24:F24"/>
    <mergeCell ref="G24:J24"/>
    <mergeCell ref="K24:N24"/>
    <mergeCell ref="O24:R24"/>
    <mergeCell ref="S24:V24"/>
    <mergeCell ref="W24:Z24"/>
    <mergeCell ref="AA24:AF24"/>
    <mergeCell ref="AG24:AI24"/>
    <mergeCell ref="B25:F25"/>
    <mergeCell ref="G25:J25"/>
    <mergeCell ref="K25:N25"/>
    <mergeCell ref="O25:R25"/>
    <mergeCell ref="S25:V25"/>
    <mergeCell ref="W25:Z25"/>
    <mergeCell ref="S26:V26"/>
    <mergeCell ref="W26:Z26"/>
    <mergeCell ref="S27:V27"/>
    <mergeCell ref="W27:Z27"/>
    <mergeCell ref="B26:F26"/>
    <mergeCell ref="G26:J26"/>
    <mergeCell ref="B27:F27"/>
    <mergeCell ref="G27:J27"/>
    <mergeCell ref="K27:N27"/>
    <mergeCell ref="O27:R27"/>
    <mergeCell ref="K26:N26"/>
    <mergeCell ref="O26:R26"/>
    <mergeCell ref="B28:F28"/>
    <mergeCell ref="G28:J28"/>
    <mergeCell ref="K28:N28"/>
    <mergeCell ref="O28:R28"/>
    <mergeCell ref="S30:V30"/>
    <mergeCell ref="W30:Z30"/>
    <mergeCell ref="B29:F29"/>
    <mergeCell ref="G29:J29"/>
    <mergeCell ref="K29:N29"/>
    <mergeCell ref="O29:R29"/>
    <mergeCell ref="S28:V28"/>
    <mergeCell ref="W28:Z28"/>
    <mergeCell ref="S29:V29"/>
    <mergeCell ref="W29:Z29"/>
    <mergeCell ref="S31:V31"/>
    <mergeCell ref="W31:Z31"/>
    <mergeCell ref="B30:F30"/>
    <mergeCell ref="G30:J30"/>
    <mergeCell ref="B31:F31"/>
    <mergeCell ref="G31:J31"/>
    <mergeCell ref="K31:N31"/>
    <mergeCell ref="O31:R31"/>
    <mergeCell ref="K30:N30"/>
    <mergeCell ref="O30:R30"/>
    <mergeCell ref="B32:F32"/>
    <mergeCell ref="G32:J32"/>
    <mergeCell ref="K32:N32"/>
    <mergeCell ref="O32:R32"/>
    <mergeCell ref="S32:V32"/>
    <mergeCell ref="W32:Z32"/>
    <mergeCell ref="A33:A45"/>
    <mergeCell ref="B33:F33"/>
    <mergeCell ref="G33:J33"/>
    <mergeCell ref="K33:N33"/>
    <mergeCell ref="O33:R33"/>
    <mergeCell ref="S33:V33"/>
    <mergeCell ref="W33:Z33"/>
    <mergeCell ref="B35:F35"/>
    <mergeCell ref="AA33:AF33"/>
    <mergeCell ref="AG33:AI33"/>
    <mergeCell ref="B34:F34"/>
    <mergeCell ref="G34:J34"/>
    <mergeCell ref="K34:N34"/>
    <mergeCell ref="O34:R34"/>
    <mergeCell ref="S34:V34"/>
    <mergeCell ref="W34:Z34"/>
    <mergeCell ref="AA34:AF34"/>
    <mergeCell ref="AG34:AI34"/>
    <mergeCell ref="G35:J35"/>
    <mergeCell ref="K35:N35"/>
    <mergeCell ref="O35:R35"/>
    <mergeCell ref="S35:V35"/>
    <mergeCell ref="W35:Z35"/>
    <mergeCell ref="AA35:AF35"/>
    <mergeCell ref="AG35:AI35"/>
    <mergeCell ref="B36:F36"/>
    <mergeCell ref="G36:J36"/>
    <mergeCell ref="K36:N36"/>
    <mergeCell ref="O36:R36"/>
    <mergeCell ref="S36:V36"/>
    <mergeCell ref="W36:Z36"/>
    <mergeCell ref="AA36:AF36"/>
    <mergeCell ref="B37:F37"/>
    <mergeCell ref="G37:J37"/>
    <mergeCell ref="K37:N37"/>
    <mergeCell ref="O37:R37"/>
    <mergeCell ref="S37:V37"/>
    <mergeCell ref="W37:Z37"/>
    <mergeCell ref="AA37:AF37"/>
    <mergeCell ref="AG37:AI37"/>
    <mergeCell ref="B38:F38"/>
    <mergeCell ref="G38:J38"/>
    <mergeCell ref="K38:N38"/>
    <mergeCell ref="O38:R38"/>
    <mergeCell ref="S38:V38"/>
    <mergeCell ref="W38:Z38"/>
    <mergeCell ref="AA38:AF38"/>
    <mergeCell ref="AG38:AI38"/>
    <mergeCell ref="AA40:AI40"/>
    <mergeCell ref="B39:F39"/>
    <mergeCell ref="G39:J39"/>
    <mergeCell ref="K39:N39"/>
    <mergeCell ref="O39:R39"/>
    <mergeCell ref="S39:V39"/>
    <mergeCell ref="W39:Z39"/>
    <mergeCell ref="B40:F40"/>
    <mergeCell ref="G40:J40"/>
    <mergeCell ref="K40:N40"/>
    <mergeCell ref="O40:R40"/>
    <mergeCell ref="S40:V40"/>
    <mergeCell ref="W40:Z40"/>
    <mergeCell ref="B41:F41"/>
    <mergeCell ref="G41:J41"/>
    <mergeCell ref="K41:N41"/>
    <mergeCell ref="O41:R41"/>
    <mergeCell ref="S41:V41"/>
    <mergeCell ref="W41:Z41"/>
    <mergeCell ref="S43:V43"/>
    <mergeCell ref="W43:Z43"/>
    <mergeCell ref="B42:F42"/>
    <mergeCell ref="G42:J42"/>
    <mergeCell ref="K42:N42"/>
    <mergeCell ref="O42:R42"/>
    <mergeCell ref="S42:V42"/>
    <mergeCell ref="W42:Z42"/>
    <mergeCell ref="S44:V44"/>
    <mergeCell ref="W44:Z44"/>
    <mergeCell ref="B43:F43"/>
    <mergeCell ref="G43:J43"/>
    <mergeCell ref="B44:F44"/>
    <mergeCell ref="G44:J44"/>
    <mergeCell ref="K44:N44"/>
    <mergeCell ref="O44:R44"/>
    <mergeCell ref="K43:N43"/>
    <mergeCell ref="O43:R43"/>
    <mergeCell ref="B45:F45"/>
    <mergeCell ref="G45:J45"/>
    <mergeCell ref="K45:N45"/>
    <mergeCell ref="O45:R45"/>
    <mergeCell ref="S45:V45"/>
    <mergeCell ref="W45:Z45"/>
    <mergeCell ref="A46:A58"/>
    <mergeCell ref="B46:F46"/>
    <mergeCell ref="G46:J46"/>
    <mergeCell ref="K46:N46"/>
    <mergeCell ref="O46:R46"/>
    <mergeCell ref="S46:V46"/>
    <mergeCell ref="W46:Z46"/>
    <mergeCell ref="B48:F48"/>
    <mergeCell ref="S47:V47"/>
    <mergeCell ref="W47:Z47"/>
    <mergeCell ref="AA47:AF47"/>
    <mergeCell ref="AG47:AI47"/>
    <mergeCell ref="B47:F47"/>
    <mergeCell ref="G47:J47"/>
    <mergeCell ref="K47:N47"/>
    <mergeCell ref="O47:R47"/>
    <mergeCell ref="G48:J48"/>
    <mergeCell ref="K48:N48"/>
    <mergeCell ref="O48:R48"/>
    <mergeCell ref="S48:V48"/>
    <mergeCell ref="W48:Z48"/>
    <mergeCell ref="AA48:AF48"/>
    <mergeCell ref="AG48:AI48"/>
    <mergeCell ref="B49:F49"/>
    <mergeCell ref="G49:J49"/>
    <mergeCell ref="K49:N49"/>
    <mergeCell ref="O49:R49"/>
    <mergeCell ref="S49:V49"/>
    <mergeCell ref="W49:Z49"/>
    <mergeCell ref="AA49:AF49"/>
    <mergeCell ref="B50:F50"/>
    <mergeCell ref="G50:J50"/>
    <mergeCell ref="K50:N50"/>
    <mergeCell ref="O50:R50"/>
    <mergeCell ref="S50:V50"/>
    <mergeCell ref="W50:Z50"/>
    <mergeCell ref="AA50:AF50"/>
    <mergeCell ref="AG50:AI50"/>
    <mergeCell ref="B51:F51"/>
    <mergeCell ref="G51:J51"/>
    <mergeCell ref="K51:N51"/>
    <mergeCell ref="O51:R51"/>
    <mergeCell ref="S51:V51"/>
    <mergeCell ref="W51:Z51"/>
    <mergeCell ref="S52:V52"/>
    <mergeCell ref="W52:Z52"/>
    <mergeCell ref="S53:V53"/>
    <mergeCell ref="W53:Z53"/>
    <mergeCell ref="B52:F52"/>
    <mergeCell ref="G52:J52"/>
    <mergeCell ref="B53:F53"/>
    <mergeCell ref="G53:J53"/>
    <mergeCell ref="K53:N53"/>
    <mergeCell ref="O53:R53"/>
    <mergeCell ref="K52:N52"/>
    <mergeCell ref="O52:R52"/>
    <mergeCell ref="B54:F54"/>
    <mergeCell ref="G54:J54"/>
    <mergeCell ref="K54:N54"/>
    <mergeCell ref="O54:R54"/>
    <mergeCell ref="S56:V56"/>
    <mergeCell ref="W56:Z56"/>
    <mergeCell ref="B55:F55"/>
    <mergeCell ref="G55:J55"/>
    <mergeCell ref="K55:N55"/>
    <mergeCell ref="O55:R55"/>
    <mergeCell ref="S54:V54"/>
    <mergeCell ref="W54:Z54"/>
    <mergeCell ref="S55:V55"/>
    <mergeCell ref="W55:Z55"/>
    <mergeCell ref="S57:V57"/>
    <mergeCell ref="W57:Z57"/>
    <mergeCell ref="B56:F56"/>
    <mergeCell ref="G56:J56"/>
    <mergeCell ref="B57:F57"/>
    <mergeCell ref="G57:J57"/>
    <mergeCell ref="K57:N57"/>
    <mergeCell ref="O57:R57"/>
    <mergeCell ref="K56:N56"/>
    <mergeCell ref="O56:R56"/>
    <mergeCell ref="B58:F58"/>
    <mergeCell ref="G58:J58"/>
    <mergeCell ref="K58:N58"/>
    <mergeCell ref="O58:R58"/>
    <mergeCell ref="S58:V58"/>
    <mergeCell ref="W58:Z58"/>
    <mergeCell ref="A59:A71"/>
    <mergeCell ref="B59:F59"/>
    <mergeCell ref="G59:J59"/>
    <mergeCell ref="K59:N59"/>
    <mergeCell ref="O59:R59"/>
    <mergeCell ref="S59:V59"/>
    <mergeCell ref="W59:Z59"/>
    <mergeCell ref="B61:F61"/>
    <mergeCell ref="AA59:AF59"/>
    <mergeCell ref="AG59:AI59"/>
    <mergeCell ref="B60:F60"/>
    <mergeCell ref="G60:J60"/>
    <mergeCell ref="K60:N60"/>
    <mergeCell ref="O60:R60"/>
    <mergeCell ref="S60:V60"/>
    <mergeCell ref="W60:Z60"/>
    <mergeCell ref="AA60:AF60"/>
    <mergeCell ref="AG60:AI60"/>
    <mergeCell ref="G61:J61"/>
    <mergeCell ref="K61:N61"/>
    <mergeCell ref="O61:R61"/>
    <mergeCell ref="S61:V61"/>
    <mergeCell ref="W61:Z61"/>
    <mergeCell ref="AA61:AF61"/>
    <mergeCell ref="AG61:AI61"/>
    <mergeCell ref="B62:F62"/>
    <mergeCell ref="G62:J62"/>
    <mergeCell ref="K62:N62"/>
    <mergeCell ref="O62:R62"/>
    <mergeCell ref="S62:V62"/>
    <mergeCell ref="W62:Z62"/>
    <mergeCell ref="AA62:AF62"/>
    <mergeCell ref="B63:F63"/>
    <mergeCell ref="G63:J63"/>
    <mergeCell ref="K63:N63"/>
    <mergeCell ref="O63:R63"/>
    <mergeCell ref="S63:V63"/>
    <mergeCell ref="W63:Z63"/>
    <mergeCell ref="AA63:AF63"/>
    <mergeCell ref="AG63:AI63"/>
    <mergeCell ref="B64:F64"/>
    <mergeCell ref="G64:J64"/>
    <mergeCell ref="K64:N64"/>
    <mergeCell ref="O64:R64"/>
    <mergeCell ref="S64:V64"/>
    <mergeCell ref="W64:Z64"/>
    <mergeCell ref="AA64:AF64"/>
    <mergeCell ref="AG64:AI64"/>
    <mergeCell ref="AA66:AI66"/>
    <mergeCell ref="B65:F65"/>
    <mergeCell ref="G65:J65"/>
    <mergeCell ref="K65:N65"/>
    <mergeCell ref="O65:R65"/>
    <mergeCell ref="S65:V65"/>
    <mergeCell ref="W65:Z65"/>
    <mergeCell ref="B66:F66"/>
    <mergeCell ref="G66:J66"/>
    <mergeCell ref="K66:N66"/>
    <mergeCell ref="O66:R66"/>
    <mergeCell ref="S66:V66"/>
    <mergeCell ref="W66:Z66"/>
    <mergeCell ref="B67:F67"/>
    <mergeCell ref="G67:J67"/>
    <mergeCell ref="K67:N67"/>
    <mergeCell ref="O67:R67"/>
    <mergeCell ref="S67:V67"/>
    <mergeCell ref="W67:Z67"/>
    <mergeCell ref="S69:V69"/>
    <mergeCell ref="W69:Z69"/>
    <mergeCell ref="B68:F68"/>
    <mergeCell ref="G68:J68"/>
    <mergeCell ref="K68:N68"/>
    <mergeCell ref="O68:R68"/>
    <mergeCell ref="S68:V68"/>
    <mergeCell ref="W68:Z68"/>
    <mergeCell ref="S70:V70"/>
    <mergeCell ref="W70:Z70"/>
    <mergeCell ref="B69:F69"/>
    <mergeCell ref="G69:J69"/>
    <mergeCell ref="B70:F70"/>
    <mergeCell ref="G70:J70"/>
    <mergeCell ref="K70:N70"/>
    <mergeCell ref="O70:R70"/>
    <mergeCell ref="K69:N69"/>
    <mergeCell ref="O69:R69"/>
    <mergeCell ref="B71:F71"/>
    <mergeCell ref="G71:J71"/>
    <mergeCell ref="K71:N71"/>
    <mergeCell ref="O71:R71"/>
    <mergeCell ref="S71:V71"/>
    <mergeCell ref="W71:Z71"/>
    <mergeCell ref="A72:A84"/>
    <mergeCell ref="B72:F72"/>
    <mergeCell ref="G72:J72"/>
    <mergeCell ref="K72:N72"/>
    <mergeCell ref="O72:R72"/>
    <mergeCell ref="S72:V72"/>
    <mergeCell ref="W72:Z72"/>
    <mergeCell ref="B74:F74"/>
    <mergeCell ref="AA72:AF72"/>
    <mergeCell ref="AG72:AI72"/>
    <mergeCell ref="B73:F73"/>
    <mergeCell ref="G73:J73"/>
    <mergeCell ref="K73:N73"/>
    <mergeCell ref="O73:R73"/>
    <mergeCell ref="S73:V73"/>
    <mergeCell ref="W73:Z73"/>
    <mergeCell ref="AA73:AF73"/>
    <mergeCell ref="AG73:AI73"/>
    <mergeCell ref="G74:J74"/>
    <mergeCell ref="K74:N74"/>
    <mergeCell ref="O74:R74"/>
    <mergeCell ref="S74:V74"/>
    <mergeCell ref="W74:Z74"/>
    <mergeCell ref="AA74:AF74"/>
    <mergeCell ref="AG74:AI74"/>
    <mergeCell ref="B75:F75"/>
    <mergeCell ref="G75:J75"/>
    <mergeCell ref="K75:N75"/>
    <mergeCell ref="O75:R75"/>
    <mergeCell ref="S75:V75"/>
    <mergeCell ref="W75:Z75"/>
    <mergeCell ref="AA75:AF75"/>
    <mergeCell ref="B76:F76"/>
    <mergeCell ref="G76:J76"/>
    <mergeCell ref="K76:N76"/>
    <mergeCell ref="O76:R76"/>
    <mergeCell ref="S76:V76"/>
    <mergeCell ref="W76:Z76"/>
    <mergeCell ref="AA76:AF76"/>
    <mergeCell ref="AG76:AI76"/>
    <mergeCell ref="B77:F77"/>
    <mergeCell ref="G77:J77"/>
    <mergeCell ref="K77:N77"/>
    <mergeCell ref="O77:R77"/>
    <mergeCell ref="S77:V77"/>
    <mergeCell ref="W77:Z77"/>
    <mergeCell ref="AA77:AF77"/>
    <mergeCell ref="AG77:AI77"/>
    <mergeCell ref="AA79:AI79"/>
    <mergeCell ref="B78:F78"/>
    <mergeCell ref="G78:J78"/>
    <mergeCell ref="K78:N78"/>
    <mergeCell ref="O78:R78"/>
    <mergeCell ref="S78:V78"/>
    <mergeCell ref="W78:Z78"/>
    <mergeCell ref="B79:F79"/>
    <mergeCell ref="G79:J79"/>
    <mergeCell ref="K79:N79"/>
    <mergeCell ref="O79:R79"/>
    <mergeCell ref="S79:V79"/>
    <mergeCell ref="W79:Z79"/>
    <mergeCell ref="B80:F80"/>
    <mergeCell ref="G80:J80"/>
    <mergeCell ref="K80:N80"/>
    <mergeCell ref="O80:R80"/>
    <mergeCell ref="S80:V80"/>
    <mergeCell ref="W80:Z80"/>
    <mergeCell ref="S82:V82"/>
    <mergeCell ref="W82:Z82"/>
    <mergeCell ref="B81:F81"/>
    <mergeCell ref="G81:J81"/>
    <mergeCell ref="K81:N81"/>
    <mergeCell ref="O81:R81"/>
    <mergeCell ref="S81:V81"/>
    <mergeCell ref="W81:Z81"/>
    <mergeCell ref="S83:V83"/>
    <mergeCell ref="W83:Z83"/>
    <mergeCell ref="B82:F82"/>
    <mergeCell ref="G82:J82"/>
    <mergeCell ref="B83:F83"/>
    <mergeCell ref="G83:J83"/>
    <mergeCell ref="K83:N83"/>
    <mergeCell ref="O83:R83"/>
    <mergeCell ref="K82:N82"/>
    <mergeCell ref="O82:R82"/>
    <mergeCell ref="B84:F84"/>
    <mergeCell ref="G84:J84"/>
    <mergeCell ref="K84:N84"/>
    <mergeCell ref="O84:R84"/>
    <mergeCell ref="S84:V84"/>
    <mergeCell ref="W84:Z84"/>
    <mergeCell ref="A85:A97"/>
    <mergeCell ref="B85:F85"/>
    <mergeCell ref="G85:J85"/>
    <mergeCell ref="K85:N85"/>
    <mergeCell ref="O85:R85"/>
    <mergeCell ref="S85:V85"/>
    <mergeCell ref="W85:Z85"/>
    <mergeCell ref="B87:F87"/>
    <mergeCell ref="AA85:AF85"/>
    <mergeCell ref="AG85:AI85"/>
    <mergeCell ref="B86:F86"/>
    <mergeCell ref="G86:J86"/>
    <mergeCell ref="K86:N86"/>
    <mergeCell ref="O86:R86"/>
    <mergeCell ref="S86:V86"/>
    <mergeCell ref="W86:Z86"/>
    <mergeCell ref="AA86:AF86"/>
    <mergeCell ref="AG86:AI86"/>
    <mergeCell ref="G87:J87"/>
    <mergeCell ref="K87:N87"/>
    <mergeCell ref="O87:R87"/>
    <mergeCell ref="S87:V87"/>
    <mergeCell ref="W87:Z87"/>
    <mergeCell ref="AA87:AF87"/>
    <mergeCell ref="AG87:AI87"/>
    <mergeCell ref="B88:F88"/>
    <mergeCell ref="G88:J88"/>
    <mergeCell ref="K88:N88"/>
    <mergeCell ref="O88:R88"/>
    <mergeCell ref="S88:V88"/>
    <mergeCell ref="W88:Z88"/>
    <mergeCell ref="AA88:AF88"/>
    <mergeCell ref="B89:F89"/>
    <mergeCell ref="G89:J89"/>
    <mergeCell ref="K89:N89"/>
    <mergeCell ref="O89:R89"/>
    <mergeCell ref="S89:V89"/>
    <mergeCell ref="W89:Z89"/>
    <mergeCell ref="AA89:AF89"/>
    <mergeCell ref="AG89:AI89"/>
    <mergeCell ref="B90:F90"/>
    <mergeCell ref="G90:J90"/>
    <mergeCell ref="K90:N90"/>
    <mergeCell ref="O90:R90"/>
    <mergeCell ref="S90:V90"/>
    <mergeCell ref="W90:Z90"/>
    <mergeCell ref="AA90:AF90"/>
    <mergeCell ref="AG90:AI90"/>
    <mergeCell ref="AA92:AI92"/>
    <mergeCell ref="B91:F91"/>
    <mergeCell ref="G91:J91"/>
    <mergeCell ref="K91:N91"/>
    <mergeCell ref="O91:R91"/>
    <mergeCell ref="S91:V91"/>
    <mergeCell ref="W91:Z91"/>
    <mergeCell ref="B92:F92"/>
    <mergeCell ref="G92:J92"/>
    <mergeCell ref="K92:N92"/>
    <mergeCell ref="O92:R92"/>
    <mergeCell ref="S92:V92"/>
    <mergeCell ref="W92:Z92"/>
    <mergeCell ref="B93:F93"/>
    <mergeCell ref="G93:J93"/>
    <mergeCell ref="K93:N93"/>
    <mergeCell ref="O93:R93"/>
    <mergeCell ref="S93:V93"/>
    <mergeCell ref="W93:Z93"/>
    <mergeCell ref="S95:V95"/>
    <mergeCell ref="W95:Z95"/>
    <mergeCell ref="B94:F94"/>
    <mergeCell ref="G94:J94"/>
    <mergeCell ref="K94:N94"/>
    <mergeCell ref="O94:R94"/>
    <mergeCell ref="S94:V94"/>
    <mergeCell ref="W94:Z94"/>
    <mergeCell ref="S96:V96"/>
    <mergeCell ref="W96:Z96"/>
    <mergeCell ref="B95:F95"/>
    <mergeCell ref="G95:J95"/>
    <mergeCell ref="B96:F96"/>
    <mergeCell ref="G96:J96"/>
    <mergeCell ref="K96:N96"/>
    <mergeCell ref="O96:R96"/>
    <mergeCell ref="K95:N95"/>
    <mergeCell ref="O95:R95"/>
    <mergeCell ref="B97:F97"/>
    <mergeCell ref="G97:J97"/>
    <mergeCell ref="K97:N97"/>
    <mergeCell ref="O97:R97"/>
    <mergeCell ref="S97:V97"/>
    <mergeCell ref="W97:Z97"/>
    <mergeCell ref="A98:A110"/>
    <mergeCell ref="B98:F98"/>
    <mergeCell ref="G98:J98"/>
    <mergeCell ref="K98:N98"/>
    <mergeCell ref="O98:R98"/>
    <mergeCell ref="S98:V98"/>
    <mergeCell ref="W98:Z98"/>
    <mergeCell ref="B100:F100"/>
    <mergeCell ref="AA98:AF98"/>
    <mergeCell ref="AG98:AI98"/>
    <mergeCell ref="B99:F99"/>
    <mergeCell ref="G99:J99"/>
    <mergeCell ref="K99:N99"/>
    <mergeCell ref="O99:R99"/>
    <mergeCell ref="S99:V99"/>
    <mergeCell ref="W99:Z99"/>
    <mergeCell ref="AA99:AF99"/>
    <mergeCell ref="AG99:AI99"/>
    <mergeCell ref="G100:J100"/>
    <mergeCell ref="K100:N100"/>
    <mergeCell ref="O100:R100"/>
    <mergeCell ref="S100:V100"/>
    <mergeCell ref="W100:Z100"/>
    <mergeCell ref="AA100:AF100"/>
    <mergeCell ref="AG100:AI100"/>
    <mergeCell ref="B101:F101"/>
    <mergeCell ref="G101:J101"/>
    <mergeCell ref="K101:N101"/>
    <mergeCell ref="O101:R101"/>
    <mergeCell ref="S101:V101"/>
    <mergeCell ref="W101:Z101"/>
    <mergeCell ref="AA101:AF101"/>
    <mergeCell ref="B102:F102"/>
    <mergeCell ref="G102:J102"/>
    <mergeCell ref="K102:N102"/>
    <mergeCell ref="O102:R102"/>
    <mergeCell ref="S102:V102"/>
    <mergeCell ref="W102:Z102"/>
    <mergeCell ref="AA102:AF102"/>
    <mergeCell ref="AG102:AI102"/>
    <mergeCell ref="B103:F103"/>
    <mergeCell ref="G103:J103"/>
    <mergeCell ref="K103:N103"/>
    <mergeCell ref="O103:R103"/>
    <mergeCell ref="S103:V103"/>
    <mergeCell ref="W103:Z103"/>
    <mergeCell ref="AA103:AF103"/>
    <mergeCell ref="AG103:AI103"/>
    <mergeCell ref="AA105:AI105"/>
    <mergeCell ref="B104:F104"/>
    <mergeCell ref="G104:J104"/>
    <mergeCell ref="K104:N104"/>
    <mergeCell ref="O104:R104"/>
    <mergeCell ref="S104:V104"/>
    <mergeCell ref="W104:Z104"/>
    <mergeCell ref="B105:F105"/>
    <mergeCell ref="G105:J105"/>
    <mergeCell ref="K105:N105"/>
    <mergeCell ref="O105:R105"/>
    <mergeCell ref="S105:V105"/>
    <mergeCell ref="W105:Z105"/>
    <mergeCell ref="B106:F106"/>
    <mergeCell ref="G106:J106"/>
    <mergeCell ref="K106:N106"/>
    <mergeCell ref="O106:R106"/>
    <mergeCell ref="S106:V106"/>
    <mergeCell ref="W106:Z106"/>
    <mergeCell ref="S108:V108"/>
    <mergeCell ref="W108:Z108"/>
    <mergeCell ref="B107:F107"/>
    <mergeCell ref="G107:J107"/>
    <mergeCell ref="K107:N107"/>
    <mergeCell ref="O107:R107"/>
    <mergeCell ref="S107:V107"/>
    <mergeCell ref="W107:Z107"/>
    <mergeCell ref="S109:V109"/>
    <mergeCell ref="W109:Z109"/>
    <mergeCell ref="B108:F108"/>
    <mergeCell ref="G108:J108"/>
    <mergeCell ref="B109:F109"/>
    <mergeCell ref="G109:J109"/>
    <mergeCell ref="K109:N109"/>
    <mergeCell ref="O109:R109"/>
    <mergeCell ref="K108:N108"/>
    <mergeCell ref="O108:R108"/>
    <mergeCell ref="B110:F110"/>
    <mergeCell ref="G110:J110"/>
    <mergeCell ref="K110:N110"/>
    <mergeCell ref="O110:R110"/>
    <mergeCell ref="S110:V110"/>
    <mergeCell ref="W110:Z110"/>
    <mergeCell ref="A111:A123"/>
    <mergeCell ref="B111:F111"/>
    <mergeCell ref="G111:J111"/>
    <mergeCell ref="K111:N111"/>
    <mergeCell ref="O111:R111"/>
    <mergeCell ref="S111:V111"/>
    <mergeCell ref="W111:Z111"/>
    <mergeCell ref="B113:F113"/>
    <mergeCell ref="AA111:AF111"/>
    <mergeCell ref="AG111:AI111"/>
    <mergeCell ref="B112:F112"/>
    <mergeCell ref="G112:J112"/>
    <mergeCell ref="K112:N112"/>
    <mergeCell ref="O112:R112"/>
    <mergeCell ref="S112:V112"/>
    <mergeCell ref="W112:Z112"/>
    <mergeCell ref="AA112:AF112"/>
    <mergeCell ref="AG112:AI112"/>
    <mergeCell ref="G113:J113"/>
    <mergeCell ref="K113:N113"/>
    <mergeCell ref="O113:R113"/>
    <mergeCell ref="S113:V113"/>
    <mergeCell ref="W113:Z113"/>
    <mergeCell ref="AA113:AF113"/>
    <mergeCell ref="AG113:AI113"/>
    <mergeCell ref="B114:F114"/>
    <mergeCell ref="G114:J114"/>
    <mergeCell ref="K114:N114"/>
    <mergeCell ref="O114:R114"/>
    <mergeCell ref="S114:V114"/>
    <mergeCell ref="W114:Z114"/>
    <mergeCell ref="AA114:AF114"/>
    <mergeCell ref="AG114:AI114"/>
    <mergeCell ref="B115:F115"/>
    <mergeCell ref="G115:J115"/>
    <mergeCell ref="K115:N115"/>
    <mergeCell ref="O115:R115"/>
    <mergeCell ref="S115:V115"/>
    <mergeCell ref="W115:Z115"/>
    <mergeCell ref="AA115:AF115"/>
    <mergeCell ref="AG115:AI115"/>
    <mergeCell ref="B116:F116"/>
    <mergeCell ref="G116:J116"/>
    <mergeCell ref="K116:N116"/>
    <mergeCell ref="O116:R116"/>
    <mergeCell ref="S116:V116"/>
    <mergeCell ref="W116:Z116"/>
    <mergeCell ref="AA116:AF116"/>
    <mergeCell ref="AG116:AI116"/>
    <mergeCell ref="AA118:AI118"/>
    <mergeCell ref="B117:F117"/>
    <mergeCell ref="G117:J117"/>
    <mergeCell ref="K117:N117"/>
    <mergeCell ref="O117:R117"/>
    <mergeCell ref="S117:V117"/>
    <mergeCell ref="W117:Z117"/>
    <mergeCell ref="B118:F118"/>
    <mergeCell ref="G118:J118"/>
    <mergeCell ref="K118:N118"/>
    <mergeCell ref="O118:R118"/>
    <mergeCell ref="S118:V118"/>
    <mergeCell ref="W118:Z118"/>
    <mergeCell ref="B119:F119"/>
    <mergeCell ref="G119:J119"/>
    <mergeCell ref="K119:N119"/>
    <mergeCell ref="O119:R119"/>
    <mergeCell ref="S119:V119"/>
    <mergeCell ref="W119:Z119"/>
    <mergeCell ref="S121:V121"/>
    <mergeCell ref="W121:Z121"/>
    <mergeCell ref="B120:F120"/>
    <mergeCell ref="G120:J120"/>
    <mergeCell ref="K120:N120"/>
    <mergeCell ref="O120:R120"/>
    <mergeCell ref="S120:V120"/>
    <mergeCell ref="W120:Z120"/>
    <mergeCell ref="S122:V122"/>
    <mergeCell ref="W122:Z122"/>
    <mergeCell ref="B121:F121"/>
    <mergeCell ref="G121:J121"/>
    <mergeCell ref="B122:F122"/>
    <mergeCell ref="G122:J122"/>
    <mergeCell ref="K122:N122"/>
    <mergeCell ref="O122:R122"/>
    <mergeCell ref="K121:N121"/>
    <mergeCell ref="O121:R121"/>
    <mergeCell ref="B123:F123"/>
    <mergeCell ref="G123:J123"/>
    <mergeCell ref="K123:N123"/>
    <mergeCell ref="O123:R123"/>
    <mergeCell ref="S123:V123"/>
    <mergeCell ref="W123:Z123"/>
    <mergeCell ref="A124:A136"/>
    <mergeCell ref="B124:F124"/>
    <mergeCell ref="G124:J124"/>
    <mergeCell ref="K124:N124"/>
    <mergeCell ref="O124:R124"/>
    <mergeCell ref="S124:V124"/>
    <mergeCell ref="W124:Z124"/>
    <mergeCell ref="B126:F126"/>
    <mergeCell ref="AA124:AF124"/>
    <mergeCell ref="AG124:AI124"/>
    <mergeCell ref="B125:F125"/>
    <mergeCell ref="G125:J125"/>
    <mergeCell ref="K125:N125"/>
    <mergeCell ref="O125:R125"/>
    <mergeCell ref="S125:V125"/>
    <mergeCell ref="W125:Z125"/>
    <mergeCell ref="AA125:AF125"/>
    <mergeCell ref="AG125:AI125"/>
    <mergeCell ref="G126:J126"/>
    <mergeCell ref="K126:N126"/>
    <mergeCell ref="O126:R126"/>
    <mergeCell ref="S126:V126"/>
    <mergeCell ref="W126:Z126"/>
    <mergeCell ref="AA126:AF126"/>
    <mergeCell ref="AG126:AI126"/>
    <mergeCell ref="B127:F127"/>
    <mergeCell ref="G127:J127"/>
    <mergeCell ref="K127:N127"/>
    <mergeCell ref="O127:R127"/>
    <mergeCell ref="S127:V127"/>
    <mergeCell ref="W127:Z127"/>
    <mergeCell ref="AA127:AF127"/>
    <mergeCell ref="AG127:AI127"/>
    <mergeCell ref="B128:F128"/>
    <mergeCell ref="G128:J128"/>
    <mergeCell ref="K128:N128"/>
    <mergeCell ref="O128:R128"/>
    <mergeCell ref="S128:V128"/>
    <mergeCell ref="W128:Z128"/>
    <mergeCell ref="AA128:AF128"/>
    <mergeCell ref="AG128:AI128"/>
    <mergeCell ref="B129:F129"/>
    <mergeCell ref="G129:J129"/>
    <mergeCell ref="K129:N129"/>
    <mergeCell ref="O129:R129"/>
    <mergeCell ref="S129:V129"/>
    <mergeCell ref="W129:Z129"/>
    <mergeCell ref="AA129:AF129"/>
    <mergeCell ref="AG129:AI129"/>
    <mergeCell ref="AA131:AI131"/>
    <mergeCell ref="B130:F130"/>
    <mergeCell ref="G130:J130"/>
    <mergeCell ref="K130:N130"/>
    <mergeCell ref="O130:R130"/>
    <mergeCell ref="S130:V130"/>
    <mergeCell ref="W130:Z130"/>
    <mergeCell ref="B131:F131"/>
    <mergeCell ref="G131:J131"/>
    <mergeCell ref="K131:N131"/>
    <mergeCell ref="O131:R131"/>
    <mergeCell ref="S131:V131"/>
    <mergeCell ref="W131:Z131"/>
    <mergeCell ref="B132:F132"/>
    <mergeCell ref="G132:J132"/>
    <mergeCell ref="K132:N132"/>
    <mergeCell ref="O132:R132"/>
    <mergeCell ref="S132:V132"/>
    <mergeCell ref="W132:Z132"/>
    <mergeCell ref="S134:V134"/>
    <mergeCell ref="W134:Z134"/>
    <mergeCell ref="B133:F133"/>
    <mergeCell ref="G133:J133"/>
    <mergeCell ref="K133:N133"/>
    <mergeCell ref="O133:R133"/>
    <mergeCell ref="S133:V133"/>
    <mergeCell ref="W133:Z133"/>
    <mergeCell ref="S135:V135"/>
    <mergeCell ref="W135:Z135"/>
    <mergeCell ref="B134:F134"/>
    <mergeCell ref="G134:J134"/>
    <mergeCell ref="B135:F135"/>
    <mergeCell ref="G135:J135"/>
    <mergeCell ref="K135:N135"/>
    <mergeCell ref="O135:R135"/>
    <mergeCell ref="K134:N134"/>
    <mergeCell ref="O134:R134"/>
    <mergeCell ref="B136:F136"/>
    <mergeCell ref="G136:J136"/>
    <mergeCell ref="K136:N136"/>
    <mergeCell ref="O136:R136"/>
    <mergeCell ref="S136:V136"/>
    <mergeCell ref="W136:Z136"/>
    <mergeCell ref="A137:A149"/>
    <mergeCell ref="B137:F137"/>
    <mergeCell ref="G137:J137"/>
    <mergeCell ref="K137:N137"/>
    <mergeCell ref="O137:R137"/>
    <mergeCell ref="S137:V137"/>
    <mergeCell ref="W137:Z137"/>
    <mergeCell ref="B139:F139"/>
    <mergeCell ref="S138:V138"/>
    <mergeCell ref="W138:Z138"/>
    <mergeCell ref="AA138:AF138"/>
    <mergeCell ref="AG138:AI138"/>
    <mergeCell ref="B138:F138"/>
    <mergeCell ref="G138:J138"/>
    <mergeCell ref="K138:N138"/>
    <mergeCell ref="O138:R138"/>
    <mergeCell ref="G139:J139"/>
    <mergeCell ref="K139:N139"/>
    <mergeCell ref="O139:R139"/>
    <mergeCell ref="S139:V139"/>
    <mergeCell ref="W139:Z139"/>
    <mergeCell ref="AA139:AF139"/>
    <mergeCell ref="AG139:AI139"/>
    <mergeCell ref="B140:F140"/>
    <mergeCell ref="G140:J140"/>
    <mergeCell ref="K140:N140"/>
    <mergeCell ref="O140:R140"/>
    <mergeCell ref="S140:V140"/>
    <mergeCell ref="W140:Z140"/>
    <mergeCell ref="AA140:AF140"/>
    <mergeCell ref="S141:V141"/>
    <mergeCell ref="W141:Z141"/>
    <mergeCell ref="AA141:AF141"/>
    <mergeCell ref="AG141:AI141"/>
    <mergeCell ref="B141:F141"/>
    <mergeCell ref="G141:J141"/>
    <mergeCell ref="K141:N141"/>
    <mergeCell ref="O141:R141"/>
    <mergeCell ref="AA142:AF142"/>
    <mergeCell ref="AG142:AI142"/>
    <mergeCell ref="B142:F142"/>
    <mergeCell ref="G142:J142"/>
    <mergeCell ref="K142:N142"/>
    <mergeCell ref="O142:R142"/>
    <mergeCell ref="S142:V142"/>
    <mergeCell ref="W142:Z142"/>
    <mergeCell ref="S143:V143"/>
    <mergeCell ref="W143:Z143"/>
    <mergeCell ref="S144:V144"/>
    <mergeCell ref="W144:Z144"/>
    <mergeCell ref="B143:F143"/>
    <mergeCell ref="G143:J143"/>
    <mergeCell ref="B144:F144"/>
    <mergeCell ref="G144:J144"/>
    <mergeCell ref="K144:N144"/>
    <mergeCell ref="O144:R144"/>
    <mergeCell ref="K143:N143"/>
    <mergeCell ref="O143:R143"/>
    <mergeCell ref="B145:F145"/>
    <mergeCell ref="G145:J145"/>
    <mergeCell ref="K145:N145"/>
    <mergeCell ref="O145:R145"/>
    <mergeCell ref="S147:V147"/>
    <mergeCell ref="W147:Z147"/>
    <mergeCell ref="B146:F146"/>
    <mergeCell ref="G146:J146"/>
    <mergeCell ref="K146:N146"/>
    <mergeCell ref="O146:R146"/>
    <mergeCell ref="B147:F147"/>
    <mergeCell ref="G147:J147"/>
    <mergeCell ref="S146:V146"/>
    <mergeCell ref="W146:Z146"/>
    <mergeCell ref="K148:N148"/>
    <mergeCell ref="O148:R148"/>
    <mergeCell ref="K147:N147"/>
    <mergeCell ref="O147:R147"/>
    <mergeCell ref="B148:F148"/>
    <mergeCell ref="G148:J148"/>
    <mergeCell ref="B149:F149"/>
    <mergeCell ref="G149:J149"/>
    <mergeCell ref="K149:N149"/>
    <mergeCell ref="O149:R149"/>
    <mergeCell ref="AE16:AF16"/>
    <mergeCell ref="AG16:AH16"/>
    <mergeCell ref="S149:V149"/>
    <mergeCell ref="W149:Z149"/>
    <mergeCell ref="S148:V148"/>
    <mergeCell ref="W148:Z148"/>
    <mergeCell ref="S145:V145"/>
    <mergeCell ref="W145:Z145"/>
    <mergeCell ref="AI29:AK29"/>
    <mergeCell ref="AA17:AB17"/>
    <mergeCell ref="AC17:AD17"/>
    <mergeCell ref="AE17:AF17"/>
    <mergeCell ref="AG17:AH17"/>
    <mergeCell ref="AA27:AI27"/>
    <mergeCell ref="AA25:AF25"/>
    <mergeCell ref="AG25:AI25"/>
    <mergeCell ref="AA20:AF20"/>
    <mergeCell ref="AG20:AI20"/>
    <mergeCell ref="AA29:AB29"/>
    <mergeCell ref="AC29:AD29"/>
    <mergeCell ref="AE29:AF29"/>
    <mergeCell ref="AG29:AH29"/>
    <mergeCell ref="AA42:AB42"/>
    <mergeCell ref="AC42:AD42"/>
    <mergeCell ref="AE42:AF42"/>
    <mergeCell ref="AG42:AH42"/>
    <mergeCell ref="AI42:AK42"/>
    <mergeCell ref="AA30:AB30"/>
    <mergeCell ref="AC30:AD30"/>
    <mergeCell ref="AE30:AF30"/>
    <mergeCell ref="AG30:AH30"/>
    <mergeCell ref="AA32:AB32"/>
    <mergeCell ref="AC32:AD32"/>
    <mergeCell ref="AE32:AF32"/>
    <mergeCell ref="AG32:AH32"/>
    <mergeCell ref="AI32:AK32"/>
    <mergeCell ref="AI55:AK55"/>
    <mergeCell ref="AA43:AB43"/>
    <mergeCell ref="AC43:AD43"/>
    <mergeCell ref="AE43:AF43"/>
    <mergeCell ref="AG43:AH43"/>
    <mergeCell ref="AA53:AI53"/>
    <mergeCell ref="AA51:AF51"/>
    <mergeCell ref="AG51:AI51"/>
    <mergeCell ref="AA46:AF46"/>
    <mergeCell ref="AG46:AI46"/>
    <mergeCell ref="AA55:AB55"/>
    <mergeCell ref="AC55:AD55"/>
    <mergeCell ref="AE55:AF55"/>
    <mergeCell ref="AG55:AH55"/>
    <mergeCell ref="AI56:AK56"/>
    <mergeCell ref="AA56:AB56"/>
    <mergeCell ref="AC56:AD56"/>
    <mergeCell ref="AE56:AF56"/>
    <mergeCell ref="AG56:AH56"/>
    <mergeCell ref="AI68:AK68"/>
    <mergeCell ref="AA81:AB81"/>
    <mergeCell ref="AC81:AD81"/>
    <mergeCell ref="AE81:AF81"/>
    <mergeCell ref="AG81:AH81"/>
    <mergeCell ref="AI81:AK81"/>
    <mergeCell ref="AA68:AB68"/>
    <mergeCell ref="AC68:AD68"/>
    <mergeCell ref="AE68:AF68"/>
    <mergeCell ref="AG68:AH68"/>
    <mergeCell ref="AI82:AK82"/>
    <mergeCell ref="AA94:AB94"/>
    <mergeCell ref="AC94:AD94"/>
    <mergeCell ref="AE94:AF94"/>
    <mergeCell ref="AG94:AH94"/>
    <mergeCell ref="AI94:AK94"/>
    <mergeCell ref="AA82:AB82"/>
    <mergeCell ref="AC82:AD82"/>
    <mergeCell ref="AE82:AF82"/>
    <mergeCell ref="AG82:AH82"/>
    <mergeCell ref="AI95:AK95"/>
    <mergeCell ref="AA107:AB107"/>
    <mergeCell ref="AC107:AD107"/>
    <mergeCell ref="AE107:AF107"/>
    <mergeCell ref="AG107:AH107"/>
    <mergeCell ref="AI107:AK107"/>
    <mergeCell ref="AA95:AB95"/>
    <mergeCell ref="AC95:AD95"/>
    <mergeCell ref="AE95:AF95"/>
    <mergeCell ref="AG95:AH95"/>
    <mergeCell ref="AI108:AK108"/>
    <mergeCell ref="AA120:AB120"/>
    <mergeCell ref="AC120:AD120"/>
    <mergeCell ref="AE120:AF120"/>
    <mergeCell ref="AG120:AH120"/>
    <mergeCell ref="AI120:AK120"/>
    <mergeCell ref="AA108:AB108"/>
    <mergeCell ref="AC108:AD108"/>
    <mergeCell ref="AE108:AF108"/>
    <mergeCell ref="AG108:AH108"/>
    <mergeCell ref="AI121:AK121"/>
    <mergeCell ref="AA133:AB133"/>
    <mergeCell ref="AC133:AD133"/>
    <mergeCell ref="AE133:AF133"/>
    <mergeCell ref="AG133:AH133"/>
    <mergeCell ref="AI133:AK133"/>
    <mergeCell ref="AA121:AB121"/>
    <mergeCell ref="AC121:AD121"/>
    <mergeCell ref="AE121:AF121"/>
    <mergeCell ref="AG121:AH121"/>
    <mergeCell ref="AG146:AH146"/>
    <mergeCell ref="AI146:AK146"/>
    <mergeCell ref="AA134:AB134"/>
    <mergeCell ref="AC134:AD134"/>
    <mergeCell ref="AE134:AF134"/>
    <mergeCell ref="AG134:AH134"/>
    <mergeCell ref="AG140:AI140"/>
    <mergeCell ref="AA137:AF137"/>
    <mergeCell ref="AG137:AI137"/>
    <mergeCell ref="AA144:AI144"/>
    <mergeCell ref="AI147:AK147"/>
    <mergeCell ref="AQ130:AR130"/>
    <mergeCell ref="AA147:AB147"/>
    <mergeCell ref="AC147:AD147"/>
    <mergeCell ref="AE147:AF147"/>
    <mergeCell ref="AG147:AH147"/>
    <mergeCell ref="AI134:AK134"/>
    <mergeCell ref="AA146:AB146"/>
    <mergeCell ref="AC146:AD146"/>
    <mergeCell ref="AE146:AF146"/>
    <mergeCell ref="AA15:AB15"/>
    <mergeCell ref="AC15:AD15"/>
    <mergeCell ref="AA13:AF13"/>
    <mergeCell ref="S15:V15"/>
    <mergeCell ref="W15:Z15"/>
    <mergeCell ref="S13:V13"/>
    <mergeCell ref="W13:Z13"/>
    <mergeCell ref="S14:V14"/>
    <mergeCell ref="W14:Z14"/>
    <mergeCell ref="AA14:AI14"/>
    <mergeCell ref="AI15:AK15"/>
    <mergeCell ref="AA19:AB19"/>
    <mergeCell ref="AC19:AD19"/>
    <mergeCell ref="AE19:AF19"/>
    <mergeCell ref="AG19:AH19"/>
    <mergeCell ref="AI19:AK19"/>
    <mergeCell ref="AI16:AK16"/>
    <mergeCell ref="AI17:AK17"/>
    <mergeCell ref="AA16:AB16"/>
    <mergeCell ref="AC16:AD16"/>
    <mergeCell ref="AG13:AI13"/>
    <mergeCell ref="AA26:AF26"/>
    <mergeCell ref="AG26:AI26"/>
    <mergeCell ref="AA28:AB28"/>
    <mergeCell ref="AC28:AD28"/>
    <mergeCell ref="AE28:AF28"/>
    <mergeCell ref="AG28:AH28"/>
    <mergeCell ref="AI28:AK28"/>
    <mergeCell ref="AE15:AF15"/>
    <mergeCell ref="AG15:AH15"/>
    <mergeCell ref="AE45:AF45"/>
    <mergeCell ref="AG45:AH45"/>
    <mergeCell ref="AA39:AF39"/>
    <mergeCell ref="AG39:AI39"/>
    <mergeCell ref="AA41:AB41"/>
    <mergeCell ref="AC41:AD41"/>
    <mergeCell ref="AE41:AF41"/>
    <mergeCell ref="AG41:AH41"/>
    <mergeCell ref="AI41:AK41"/>
    <mergeCell ref="AI43:AK43"/>
    <mergeCell ref="AI45:AK45"/>
    <mergeCell ref="AA52:AF52"/>
    <mergeCell ref="AG52:AI52"/>
    <mergeCell ref="AA54:AB54"/>
    <mergeCell ref="AC54:AD54"/>
    <mergeCell ref="AE54:AF54"/>
    <mergeCell ref="AG54:AH54"/>
    <mergeCell ref="AI54:AK54"/>
    <mergeCell ref="AA45:AB45"/>
    <mergeCell ref="AC45:AD45"/>
    <mergeCell ref="AA58:AB58"/>
    <mergeCell ref="AC58:AD58"/>
    <mergeCell ref="AE58:AF58"/>
    <mergeCell ref="AG58:AH58"/>
    <mergeCell ref="AE71:AF71"/>
    <mergeCell ref="AG71:AH71"/>
    <mergeCell ref="AI58:AK58"/>
    <mergeCell ref="AA65:AF65"/>
    <mergeCell ref="AG65:AI65"/>
    <mergeCell ref="AA67:AB67"/>
    <mergeCell ref="AC67:AD67"/>
    <mergeCell ref="AE67:AF67"/>
    <mergeCell ref="AG67:AH67"/>
    <mergeCell ref="AI67:AK67"/>
    <mergeCell ref="AI71:AK71"/>
    <mergeCell ref="AA78:AF78"/>
    <mergeCell ref="AG78:AI78"/>
    <mergeCell ref="AA80:AB80"/>
    <mergeCell ref="AC80:AD80"/>
    <mergeCell ref="AE80:AF80"/>
    <mergeCell ref="AG80:AH80"/>
    <mergeCell ref="AI80:AK80"/>
    <mergeCell ref="AA71:AB71"/>
    <mergeCell ref="AC71:AD71"/>
    <mergeCell ref="AA84:AB84"/>
    <mergeCell ref="AC84:AD84"/>
    <mergeCell ref="AE84:AF84"/>
    <mergeCell ref="AG84:AH84"/>
    <mergeCell ref="AE97:AF97"/>
    <mergeCell ref="AG97:AH97"/>
    <mergeCell ref="AI84:AK84"/>
    <mergeCell ref="AA91:AF91"/>
    <mergeCell ref="AG91:AI91"/>
    <mergeCell ref="AA93:AB93"/>
    <mergeCell ref="AC93:AD93"/>
    <mergeCell ref="AE93:AF93"/>
    <mergeCell ref="AG93:AH93"/>
    <mergeCell ref="AI93:AK93"/>
    <mergeCell ref="AI97:AK97"/>
    <mergeCell ref="AA104:AF104"/>
    <mergeCell ref="AG104:AI104"/>
    <mergeCell ref="AA106:AB106"/>
    <mergeCell ref="AC106:AD106"/>
    <mergeCell ref="AE106:AF106"/>
    <mergeCell ref="AG106:AH106"/>
    <mergeCell ref="AI106:AK106"/>
    <mergeCell ref="AA97:AB97"/>
    <mergeCell ref="AC97:AD97"/>
    <mergeCell ref="AA110:AB110"/>
    <mergeCell ref="AC110:AD110"/>
    <mergeCell ref="AE110:AF110"/>
    <mergeCell ref="AG110:AH110"/>
    <mergeCell ref="AE123:AF123"/>
    <mergeCell ref="AG123:AH123"/>
    <mergeCell ref="AI110:AK110"/>
    <mergeCell ref="AA117:AF117"/>
    <mergeCell ref="AG117:AI117"/>
    <mergeCell ref="AA119:AB119"/>
    <mergeCell ref="AC119:AD119"/>
    <mergeCell ref="AE119:AF119"/>
    <mergeCell ref="AG119:AH119"/>
    <mergeCell ref="AI119:AK119"/>
    <mergeCell ref="AI123:AK123"/>
    <mergeCell ref="AA130:AF130"/>
    <mergeCell ref="AG130:AI130"/>
    <mergeCell ref="AA132:AB132"/>
    <mergeCell ref="AC132:AD132"/>
    <mergeCell ref="AE132:AF132"/>
    <mergeCell ref="AG132:AH132"/>
    <mergeCell ref="AI132:AK132"/>
    <mergeCell ref="AA123:AB123"/>
    <mergeCell ref="AC123:AD123"/>
    <mergeCell ref="AA136:AB136"/>
    <mergeCell ref="AC136:AD136"/>
    <mergeCell ref="AE136:AF136"/>
    <mergeCell ref="AG136:AH136"/>
    <mergeCell ref="AC145:AD145"/>
    <mergeCell ref="AE145:AF145"/>
    <mergeCell ref="AG145:AH145"/>
    <mergeCell ref="AI145:AK145"/>
    <mergeCell ref="AI149:AK149"/>
    <mergeCell ref="AJ27:AL27"/>
    <mergeCell ref="AA149:AB149"/>
    <mergeCell ref="AC149:AD149"/>
    <mergeCell ref="AE149:AF149"/>
    <mergeCell ref="AG149:AH149"/>
    <mergeCell ref="AI136:AK136"/>
    <mergeCell ref="AA143:AF143"/>
    <mergeCell ref="AG143:AI143"/>
    <mergeCell ref="AA145:AB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6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7" sqref="AA7:AF7"/>
    </sheetView>
  </sheetViews>
  <sheetFormatPr defaultColWidth="9.00390625" defaultRowHeight="12.75"/>
  <cols>
    <col min="1" max="1" width="3.125" style="2" customWidth="1"/>
    <col min="2" max="42" width="3.25390625" style="2" customWidth="1"/>
    <col min="43" max="43" width="2.75390625" style="2" customWidth="1"/>
    <col min="44" max="44" width="3.00390625" style="2" customWidth="1"/>
    <col min="45" max="47" width="3.25390625" style="2" customWidth="1"/>
    <col min="48" max="48" width="2.875" style="2" customWidth="1"/>
    <col min="49" max="16384" width="3.25390625" style="2" customWidth="1"/>
  </cols>
  <sheetData>
    <row r="1" spans="1:53" ht="12.75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33</v>
      </c>
      <c r="M1" s="200"/>
      <c r="N1" s="200" t="s">
        <v>34</v>
      </c>
      <c r="O1" s="200"/>
      <c r="P1" s="200"/>
      <c r="Q1" s="200" t="s">
        <v>35</v>
      </c>
      <c r="R1" s="200"/>
      <c r="S1" s="200"/>
      <c r="T1" s="200" t="s">
        <v>36</v>
      </c>
      <c r="U1" s="200"/>
      <c r="V1" s="200"/>
      <c r="W1" s="200" t="s">
        <v>39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 t="s">
        <v>26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 t="s">
        <v>39</v>
      </c>
      <c r="AY1" s="200"/>
      <c r="AZ1" s="200"/>
      <c r="BA1" s="200"/>
    </row>
    <row r="2" spans="1:53" ht="12.75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>
        <v>0.6</v>
      </c>
      <c r="M2" s="127"/>
      <c r="N2" s="201">
        <v>0</v>
      </c>
      <c r="O2" s="201"/>
      <c r="P2" s="201"/>
      <c r="Q2" s="127" t="s">
        <v>223</v>
      </c>
      <c r="R2" s="127"/>
      <c r="S2" s="127"/>
      <c r="T2" s="127" t="s">
        <v>223</v>
      </c>
      <c r="U2" s="127"/>
      <c r="V2" s="127"/>
      <c r="W2" s="206" t="s">
        <v>40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7" t="s">
        <v>46</v>
      </c>
      <c r="AI2" s="208"/>
      <c r="AJ2" s="208"/>
      <c r="AK2" s="209"/>
      <c r="AL2" s="207" t="s">
        <v>47</v>
      </c>
      <c r="AM2" s="208"/>
      <c r="AN2" s="208"/>
      <c r="AO2" s="209"/>
      <c r="AP2" s="207" t="s">
        <v>46</v>
      </c>
      <c r="AQ2" s="208"/>
      <c r="AR2" s="208"/>
      <c r="AS2" s="209"/>
      <c r="AT2" s="207" t="s">
        <v>48</v>
      </c>
      <c r="AU2" s="208"/>
      <c r="AV2" s="208"/>
      <c r="AW2" s="209"/>
      <c r="AX2" s="210" t="s">
        <v>51</v>
      </c>
      <c r="AY2" s="211"/>
      <c r="AZ2" s="211"/>
      <c r="BA2" s="212"/>
    </row>
    <row r="3" spans="1:53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02"/>
      <c r="O3" s="202"/>
      <c r="P3" s="202"/>
      <c r="Q3" s="126"/>
      <c r="R3" s="126"/>
      <c r="S3" s="126"/>
      <c r="T3" s="126"/>
      <c r="U3" s="126"/>
      <c r="V3" s="12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126" t="s">
        <v>5</v>
      </c>
      <c r="AI3" s="126"/>
      <c r="AJ3" s="126"/>
      <c r="AK3" s="126"/>
      <c r="AL3" s="127">
        <v>20</v>
      </c>
      <c r="AM3" s="127"/>
      <c r="AN3" s="127"/>
      <c r="AO3" s="127"/>
      <c r="AP3" s="203" t="s">
        <v>49</v>
      </c>
      <c r="AQ3" s="204"/>
      <c r="AR3" s="204"/>
      <c r="AS3" s="205"/>
      <c r="AT3" s="126">
        <v>0</v>
      </c>
      <c r="AU3" s="126"/>
      <c r="AV3" s="126"/>
      <c r="AW3" s="126"/>
      <c r="AX3" s="213"/>
      <c r="AY3" s="214"/>
      <c r="AZ3" s="214"/>
      <c r="BA3" s="215"/>
    </row>
    <row r="4" spans="1:53" ht="12.75">
      <c r="A4" s="11"/>
      <c r="B4" s="12" t="s">
        <v>158</v>
      </c>
      <c r="C4" s="12"/>
      <c r="D4" s="12"/>
      <c r="E4" s="12" t="s">
        <v>157</v>
      </c>
      <c r="F4" s="12"/>
      <c r="G4" s="12"/>
      <c r="H4" s="12"/>
      <c r="I4" s="12"/>
      <c r="J4" s="12"/>
      <c r="K4" s="13"/>
      <c r="L4" s="126"/>
      <c r="M4" s="126"/>
      <c r="N4" s="202"/>
      <c r="O4" s="202"/>
      <c r="P4" s="202"/>
      <c r="Q4" s="126"/>
      <c r="R4" s="126"/>
      <c r="S4" s="126"/>
      <c r="T4" s="126"/>
      <c r="U4" s="126"/>
      <c r="V4" s="12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126" t="s">
        <v>2</v>
      </c>
      <c r="AI4" s="126"/>
      <c r="AJ4" s="126"/>
      <c r="AK4" s="126"/>
      <c r="AL4" s="127">
        <v>20</v>
      </c>
      <c r="AM4" s="127"/>
      <c r="AN4" s="127"/>
      <c r="AO4" s="127"/>
      <c r="AP4" s="203" t="s">
        <v>50</v>
      </c>
      <c r="AQ4" s="204"/>
      <c r="AR4" s="204"/>
      <c r="AS4" s="205"/>
      <c r="AT4" s="126">
        <v>100</v>
      </c>
      <c r="AU4" s="126"/>
      <c r="AV4" s="126"/>
      <c r="AW4" s="126"/>
      <c r="AX4" s="216"/>
      <c r="AY4" s="217"/>
      <c r="AZ4" s="217"/>
      <c r="BA4" s="218"/>
    </row>
    <row r="5" spans="2:48" s="3" customFormat="1" ht="13.5" thickBot="1">
      <c r="B5" s="264">
        <f>СВОДНАЯ!T41</f>
        <v>1</v>
      </c>
      <c r="C5" s="264"/>
      <c r="E5" s="264">
        <f>СВОДНАЯ!$AA$41</f>
        <v>1</v>
      </c>
      <c r="F5" s="264"/>
      <c r="G5" s="245">
        <f>СВОДНАЯ!G30</f>
        <v>2180</v>
      </c>
      <c r="H5" s="245"/>
      <c r="I5" s="245"/>
      <c r="J5" s="245">
        <f>СВОДНАЯ!J30</f>
        <v>4000</v>
      </c>
      <c r="K5" s="245"/>
      <c r="L5" s="245"/>
      <c r="M5" s="245">
        <f>СВОДНАЯ!M30</f>
        <v>5905</v>
      </c>
      <c r="N5" s="245"/>
      <c r="O5" s="245"/>
      <c r="P5" s="245">
        <f>СВОДНАЯ!P30</f>
        <v>8280</v>
      </c>
      <c r="Q5" s="245"/>
      <c r="R5" s="245"/>
      <c r="S5" s="245">
        <f>СВОДНАЯ!S30</f>
        <v>10940</v>
      </c>
      <c r="T5" s="245"/>
      <c r="U5" s="245"/>
      <c r="V5" s="245">
        <f>СВОДНАЯ!V30</f>
        <v>13000</v>
      </c>
      <c r="W5" s="245"/>
      <c r="X5" s="245"/>
      <c r="Y5" s="245">
        <f>СВОДНАЯ!Y30</f>
        <v>13060</v>
      </c>
      <c r="Z5" s="245"/>
      <c r="AA5" s="245"/>
      <c r="AB5" s="245">
        <f>СВОДНАЯ!AB30</f>
        <v>13960</v>
      </c>
      <c r="AC5" s="245"/>
      <c r="AD5" s="245"/>
      <c r="AE5" s="245">
        <f>СВОДНАЯ!AE30</f>
        <v>14360</v>
      </c>
      <c r="AF5" s="245"/>
      <c r="AG5" s="245"/>
      <c r="AH5" s="263">
        <f>СВОДНАЯ!AH30</f>
        <v>14560</v>
      </c>
      <c r="AI5" s="263"/>
      <c r="AJ5" s="263"/>
      <c r="AK5" s="263">
        <f>СВОДНАЯ!AK30</f>
        <v>16940</v>
      </c>
      <c r="AL5" s="263"/>
      <c r="AM5" s="263"/>
      <c r="AN5" s="9"/>
      <c r="AO5" s="263">
        <f>СВОДНАЯ!AO30</f>
        <v>117185</v>
      </c>
      <c r="AP5" s="263"/>
      <c r="AQ5" s="263"/>
      <c r="AR5" s="263"/>
      <c r="AS5" s="4"/>
      <c r="AT5" s="4"/>
      <c r="AU5" s="258" t="e">
        <f>#REF!</f>
        <v>#REF!</v>
      </c>
      <c r="AV5" s="258"/>
    </row>
    <row r="6" spans="1:35" ht="13.5" thickBot="1">
      <c r="A6" s="129" t="s">
        <v>129</v>
      </c>
      <c r="B6" s="130"/>
      <c r="C6" s="130"/>
      <c r="D6" s="130"/>
      <c r="E6" s="130"/>
      <c r="F6" s="130"/>
      <c r="G6" s="129" t="s">
        <v>5</v>
      </c>
      <c r="H6" s="130"/>
      <c r="I6" s="130"/>
      <c r="J6" s="131"/>
      <c r="K6" s="130" t="s">
        <v>2</v>
      </c>
      <c r="L6" s="130"/>
      <c r="M6" s="130"/>
      <c r="N6" s="130"/>
      <c r="O6" s="129" t="s">
        <v>2</v>
      </c>
      <c r="P6" s="130"/>
      <c r="Q6" s="130"/>
      <c r="R6" s="131"/>
      <c r="S6" s="129" t="s">
        <v>2</v>
      </c>
      <c r="T6" s="130"/>
      <c r="U6" s="130"/>
      <c r="V6" s="131"/>
      <c r="W6" s="129" t="s">
        <v>73</v>
      </c>
      <c r="X6" s="130"/>
      <c r="Y6" s="130"/>
      <c r="Z6" s="131"/>
      <c r="AA6" s="130" t="s">
        <v>350</v>
      </c>
      <c r="AB6" s="130"/>
      <c r="AC6" s="130"/>
      <c r="AD6" s="130"/>
      <c r="AE6" s="130"/>
      <c r="AF6" s="130"/>
      <c r="AG6" s="130"/>
      <c r="AH6" s="130"/>
      <c r="AI6" s="131"/>
    </row>
    <row r="7" spans="1:35" ht="12.75" customHeight="1">
      <c r="A7" s="186" t="s">
        <v>61</v>
      </c>
      <c r="B7" s="93" t="s">
        <v>23</v>
      </c>
      <c r="C7" s="94"/>
      <c r="D7" s="94"/>
      <c r="E7" s="94"/>
      <c r="F7" s="199"/>
      <c r="G7" s="185">
        <v>1000</v>
      </c>
      <c r="H7" s="183"/>
      <c r="I7" s="183"/>
      <c r="J7" s="184"/>
      <c r="K7" s="182">
        <v>1180</v>
      </c>
      <c r="L7" s="183"/>
      <c r="M7" s="183"/>
      <c r="N7" s="184"/>
      <c r="O7" s="242">
        <v>0</v>
      </c>
      <c r="P7" s="243"/>
      <c r="Q7" s="243"/>
      <c r="R7" s="244"/>
      <c r="S7" s="242">
        <v>0</v>
      </c>
      <c r="T7" s="243"/>
      <c r="U7" s="243"/>
      <c r="V7" s="244"/>
      <c r="W7" s="170">
        <f>G7+K7+O7+S7</f>
        <v>2180</v>
      </c>
      <c r="X7" s="171"/>
      <c r="Y7" s="171"/>
      <c r="Z7" s="172"/>
      <c r="AA7" s="236" t="s">
        <v>53</v>
      </c>
      <c r="AB7" s="94"/>
      <c r="AC7" s="94"/>
      <c r="AD7" s="94"/>
      <c r="AE7" s="94"/>
      <c r="AF7" s="94"/>
      <c r="AG7" s="269">
        <v>3.1</v>
      </c>
      <c r="AH7" s="270"/>
      <c r="AI7" s="271"/>
    </row>
    <row r="8" spans="1:35" ht="12.75">
      <c r="A8" s="265"/>
      <c r="B8" s="125" t="s">
        <v>24</v>
      </c>
      <c r="C8" s="126"/>
      <c r="D8" s="126"/>
      <c r="E8" s="126"/>
      <c r="F8" s="161"/>
      <c r="G8" s="239">
        <v>1000</v>
      </c>
      <c r="H8" s="240"/>
      <c r="I8" s="240"/>
      <c r="J8" s="241"/>
      <c r="K8" s="166">
        <v>1180</v>
      </c>
      <c r="L8" s="167"/>
      <c r="M8" s="167"/>
      <c r="N8" s="168"/>
      <c r="O8" s="239">
        <v>0</v>
      </c>
      <c r="P8" s="240"/>
      <c r="Q8" s="240"/>
      <c r="R8" s="241"/>
      <c r="S8" s="239">
        <v>0</v>
      </c>
      <c r="T8" s="240"/>
      <c r="U8" s="240"/>
      <c r="V8" s="241"/>
      <c r="W8" s="153">
        <f>G8+K8+O8+S8</f>
        <v>2180</v>
      </c>
      <c r="X8" s="154"/>
      <c r="Y8" s="154"/>
      <c r="Z8" s="155"/>
      <c r="AA8" s="205" t="s">
        <v>54</v>
      </c>
      <c r="AB8" s="126"/>
      <c r="AC8" s="126"/>
      <c r="AD8" s="126"/>
      <c r="AE8" s="126"/>
      <c r="AF8" s="126"/>
      <c r="AG8" s="278">
        <v>66.36</v>
      </c>
      <c r="AH8" s="278"/>
      <c r="AI8" s="279"/>
    </row>
    <row r="9" spans="1:35" ht="12.75">
      <c r="A9" s="265"/>
      <c r="B9" s="237" t="s">
        <v>130</v>
      </c>
      <c r="C9" s="204"/>
      <c r="D9" s="204"/>
      <c r="E9" s="204"/>
      <c r="F9" s="259"/>
      <c r="G9" s="249">
        <v>0</v>
      </c>
      <c r="H9" s="250"/>
      <c r="I9" s="250"/>
      <c r="J9" s="251"/>
      <c r="K9" s="252">
        <v>0</v>
      </c>
      <c r="L9" s="253"/>
      <c r="M9" s="253"/>
      <c r="N9" s="254"/>
      <c r="O9" s="252">
        <v>0</v>
      </c>
      <c r="P9" s="253"/>
      <c r="Q9" s="253"/>
      <c r="R9" s="254"/>
      <c r="S9" s="252">
        <v>0</v>
      </c>
      <c r="T9" s="253"/>
      <c r="U9" s="253"/>
      <c r="V9" s="254"/>
      <c r="W9" s="260">
        <f>(G9*G8+K9*K8+O9*O8+S9*S8)/W8</f>
        <v>0</v>
      </c>
      <c r="X9" s="261"/>
      <c r="Y9" s="261"/>
      <c r="Z9" s="262"/>
      <c r="AA9" s="205" t="s">
        <v>55</v>
      </c>
      <c r="AB9" s="126"/>
      <c r="AC9" s="126"/>
      <c r="AD9" s="126"/>
      <c r="AE9" s="126"/>
      <c r="AF9" s="126"/>
      <c r="AG9" s="134">
        <f>AG8</f>
        <v>66.36</v>
      </c>
      <c r="AH9" s="134"/>
      <c r="AI9" s="135"/>
    </row>
    <row r="10" spans="1:35" ht="12.75">
      <c r="A10" s="265"/>
      <c r="B10" s="125" t="s">
        <v>29</v>
      </c>
      <c r="C10" s="126"/>
      <c r="D10" s="126"/>
      <c r="E10" s="126"/>
      <c r="F10" s="161"/>
      <c r="G10" s="246">
        <f>IF(G9&lt;=10,(G9*0.005+0.35)*G8/100,((G9-10)*0.015+0.4)*G8/100)</f>
        <v>3.5</v>
      </c>
      <c r="H10" s="247"/>
      <c r="I10" s="247"/>
      <c r="J10" s="248"/>
      <c r="K10" s="246">
        <f>IF(K9&lt;=10,(K9*0.005+0.35)*K8/100,((K9-10)*0.015+0.4)*K8/100)</f>
        <v>4.13</v>
      </c>
      <c r="L10" s="247"/>
      <c r="M10" s="247"/>
      <c r="N10" s="248"/>
      <c r="O10" s="246">
        <f>IF(O9&lt;=10,(O9*0.005+0.35)*O8/100,((O9-10)*0.015+0.4)*O8/100)</f>
        <v>0</v>
      </c>
      <c r="P10" s="247"/>
      <c r="Q10" s="247"/>
      <c r="R10" s="248"/>
      <c r="S10" s="246">
        <f>IF(S9&lt;=10,(S9*0.005+0.35)*S8/100,((S9-10)*0.015+0.4)*S8/100)</f>
        <v>0</v>
      </c>
      <c r="T10" s="247"/>
      <c r="U10" s="247"/>
      <c r="V10" s="248"/>
      <c r="W10" s="153">
        <f aca="true" t="shared" si="0" ref="W10:W22">G10+K10+O10+S10</f>
        <v>7.63</v>
      </c>
      <c r="X10" s="154"/>
      <c r="Y10" s="154"/>
      <c r="Z10" s="155"/>
      <c r="AA10" s="205" t="s">
        <v>56</v>
      </c>
      <c r="AB10" s="126"/>
      <c r="AC10" s="126"/>
      <c r="AD10" s="126"/>
      <c r="AE10" s="126"/>
      <c r="AF10" s="126"/>
      <c r="AG10" s="134">
        <f>W18+AG9</f>
        <v>-4.359999999999999</v>
      </c>
      <c r="AH10" s="134"/>
      <c r="AI10" s="135"/>
    </row>
    <row r="11" spans="1:35" ht="13.5" thickBot="1">
      <c r="A11" s="265"/>
      <c r="B11" s="125" t="s">
        <v>10</v>
      </c>
      <c r="C11" s="126"/>
      <c r="D11" s="126"/>
      <c r="E11" s="126"/>
      <c r="F11" s="161"/>
      <c r="G11" s="169">
        <v>30</v>
      </c>
      <c r="H11" s="167"/>
      <c r="I11" s="167"/>
      <c r="J11" s="168"/>
      <c r="K11" s="166">
        <v>20</v>
      </c>
      <c r="L11" s="167"/>
      <c r="M11" s="167"/>
      <c r="N11" s="168"/>
      <c r="O11" s="239">
        <v>0</v>
      </c>
      <c r="P11" s="240"/>
      <c r="Q11" s="240"/>
      <c r="R11" s="241"/>
      <c r="S11" s="239">
        <v>0</v>
      </c>
      <c r="T11" s="240"/>
      <c r="U11" s="240"/>
      <c r="V11" s="241"/>
      <c r="W11" s="153">
        <f t="shared" si="0"/>
        <v>50</v>
      </c>
      <c r="X11" s="154"/>
      <c r="Y11" s="154"/>
      <c r="Z11" s="155"/>
      <c r="AA11" s="232" t="s">
        <v>57</v>
      </c>
      <c r="AB11" s="90"/>
      <c r="AC11" s="90"/>
      <c r="AD11" s="90"/>
      <c r="AE11" s="90"/>
      <c r="AF11" s="90"/>
      <c r="AG11" s="91">
        <f>-AG9+AG10-W19</f>
        <v>-68.976</v>
      </c>
      <c r="AH11" s="91"/>
      <c r="AI11" s="85"/>
    </row>
    <row r="12" spans="1:35" ht="13.5" thickBot="1">
      <c r="A12" s="265"/>
      <c r="B12" s="125" t="s">
        <v>58</v>
      </c>
      <c r="C12" s="126"/>
      <c r="D12" s="126"/>
      <c r="E12" s="126"/>
      <c r="F12" s="161"/>
      <c r="G12" s="156">
        <f>IF(G10&lt;G11,G11,G10)</f>
        <v>30</v>
      </c>
      <c r="H12" s="157"/>
      <c r="I12" s="157"/>
      <c r="J12" s="158"/>
      <c r="K12" s="160">
        <f>IF(K10&lt;K11,K11,K10)</f>
        <v>20</v>
      </c>
      <c r="L12" s="157"/>
      <c r="M12" s="157"/>
      <c r="N12" s="158"/>
      <c r="O12" s="246">
        <f>IF(O10&lt;O11,O11,O10)</f>
        <v>0</v>
      </c>
      <c r="P12" s="247"/>
      <c r="Q12" s="247"/>
      <c r="R12" s="248"/>
      <c r="S12" s="246">
        <f>IF(S10&lt;S11,S11,S10)</f>
        <v>0</v>
      </c>
      <c r="T12" s="247"/>
      <c r="U12" s="247"/>
      <c r="V12" s="248"/>
      <c r="W12" s="153">
        <f t="shared" si="0"/>
        <v>50</v>
      </c>
      <c r="X12" s="154"/>
      <c r="Y12" s="154"/>
      <c r="Z12" s="155"/>
      <c r="AA12" s="230" t="s">
        <v>59</v>
      </c>
      <c r="AB12" s="231"/>
      <c r="AC12" s="231"/>
      <c r="AD12" s="231"/>
      <c r="AE12" s="231"/>
      <c r="AF12" s="231"/>
      <c r="AG12" s="266">
        <f>AG8+AG11</f>
        <v>-2.6159999999999997</v>
      </c>
      <c r="AH12" s="267"/>
      <c r="AI12" s="268"/>
    </row>
    <row r="13" spans="1:35" ht="12.75">
      <c r="A13" s="265"/>
      <c r="B13" s="125" t="s">
        <v>41</v>
      </c>
      <c r="C13" s="126"/>
      <c r="D13" s="126"/>
      <c r="E13" s="126"/>
      <c r="F13" s="161"/>
      <c r="G13" s="156">
        <v>16.9</v>
      </c>
      <c r="H13" s="157"/>
      <c r="I13" s="157"/>
      <c r="J13" s="158"/>
      <c r="K13" s="156">
        <v>16.9</v>
      </c>
      <c r="L13" s="157"/>
      <c r="M13" s="157"/>
      <c r="N13" s="158"/>
      <c r="O13" s="246">
        <v>0</v>
      </c>
      <c r="P13" s="247"/>
      <c r="Q13" s="247"/>
      <c r="R13" s="248"/>
      <c r="S13" s="246">
        <v>0</v>
      </c>
      <c r="T13" s="247"/>
      <c r="U13" s="247"/>
      <c r="V13" s="248"/>
      <c r="W13" s="153">
        <f t="shared" si="0"/>
        <v>33.8</v>
      </c>
      <c r="X13" s="154"/>
      <c r="Y13" s="154"/>
      <c r="Z13" s="155"/>
      <c r="AA13" s="136">
        <f>(W13+W12)/W8*100-$L$2</f>
        <v>3.244036697247706</v>
      </c>
      <c r="AB13" s="136"/>
      <c r="AC13" s="136"/>
      <c r="AD13" s="136"/>
      <c r="AE13" s="136"/>
      <c r="AF13" s="136"/>
      <c r="AG13" s="136"/>
      <c r="AH13" s="136"/>
      <c r="AI13" s="136"/>
    </row>
    <row r="14" spans="1:35" ht="12.75">
      <c r="A14" s="265"/>
      <c r="B14" s="125" t="s">
        <v>42</v>
      </c>
      <c r="C14" s="126"/>
      <c r="D14" s="126"/>
      <c r="E14" s="126"/>
      <c r="F14" s="161"/>
      <c r="G14" s="169">
        <v>16.9</v>
      </c>
      <c r="H14" s="167"/>
      <c r="I14" s="167"/>
      <c r="J14" s="168"/>
      <c r="K14" s="169">
        <v>16.9</v>
      </c>
      <c r="L14" s="167"/>
      <c r="M14" s="167"/>
      <c r="N14" s="168"/>
      <c r="O14" s="239">
        <v>0</v>
      </c>
      <c r="P14" s="240"/>
      <c r="Q14" s="240"/>
      <c r="R14" s="241"/>
      <c r="S14" s="239">
        <v>0</v>
      </c>
      <c r="T14" s="240"/>
      <c r="U14" s="240"/>
      <c r="V14" s="241"/>
      <c r="W14" s="153">
        <f t="shared" si="0"/>
        <v>33.8</v>
      </c>
      <c r="X14" s="154"/>
      <c r="Y14" s="154"/>
      <c r="Z14" s="155"/>
      <c r="AA14" s="132">
        <f>AG7*W7/100</f>
        <v>67.58</v>
      </c>
      <c r="AB14" s="233"/>
      <c r="AC14" s="233"/>
      <c r="AD14" s="233"/>
      <c r="AE14" s="233"/>
      <c r="AF14" s="233"/>
      <c r="AG14" s="233"/>
      <c r="AH14" s="233"/>
      <c r="AI14" s="233"/>
    </row>
    <row r="15" spans="1:34" ht="12.75">
      <c r="A15" s="265"/>
      <c r="B15" s="125" t="s">
        <v>43</v>
      </c>
      <c r="C15" s="126"/>
      <c r="D15" s="126"/>
      <c r="E15" s="126"/>
      <c r="F15" s="161"/>
      <c r="G15" s="165">
        <f>G13-G14</f>
        <v>0</v>
      </c>
      <c r="H15" s="163"/>
      <c r="I15" s="163"/>
      <c r="J15" s="164"/>
      <c r="K15" s="162">
        <f>K13-K14</f>
        <v>0</v>
      </c>
      <c r="L15" s="163"/>
      <c r="M15" s="163"/>
      <c r="N15" s="164"/>
      <c r="O15" s="275">
        <f>O13-O14</f>
        <v>0</v>
      </c>
      <c r="P15" s="276"/>
      <c r="Q15" s="276"/>
      <c r="R15" s="277"/>
      <c r="S15" s="275">
        <v>0</v>
      </c>
      <c r="T15" s="276"/>
      <c r="U15" s="276"/>
      <c r="V15" s="277"/>
      <c r="W15" s="153">
        <f t="shared" si="0"/>
        <v>0</v>
      </c>
      <c r="X15" s="154"/>
      <c r="Y15" s="154"/>
      <c r="Z15" s="159"/>
      <c r="AA15" s="280">
        <f>IF(G9&lt;10,($L$2+0.005*G9),($L$2+0.05+(G9-10)*0.015))</f>
        <v>0.6</v>
      </c>
      <c r="AB15" s="281"/>
      <c r="AC15" s="280">
        <f>IF(K9&lt;10,($L$2+0.005*K9),($L$2+0.05+(K9-10)*0.015))</f>
        <v>0.6</v>
      </c>
      <c r="AD15" s="281"/>
      <c r="AE15" s="132"/>
      <c r="AF15" s="132"/>
      <c r="AG15" s="132"/>
      <c r="AH15" s="132"/>
    </row>
    <row r="16" spans="1:34" ht="12.75">
      <c r="A16" s="265"/>
      <c r="B16" s="125" t="s">
        <v>30</v>
      </c>
      <c r="C16" s="126"/>
      <c r="D16" s="126"/>
      <c r="E16" s="126"/>
      <c r="F16" s="161"/>
      <c r="G16" s="156">
        <f>G8/100*AA15</f>
        <v>6</v>
      </c>
      <c r="H16" s="157"/>
      <c r="I16" s="157"/>
      <c r="J16" s="158"/>
      <c r="K16" s="160">
        <f>K8/100*AC15</f>
        <v>7.08</v>
      </c>
      <c r="L16" s="157"/>
      <c r="M16" s="157"/>
      <c r="N16" s="158"/>
      <c r="O16" s="246">
        <f>O8/100*$L$2</f>
        <v>0</v>
      </c>
      <c r="P16" s="247"/>
      <c r="Q16" s="247"/>
      <c r="R16" s="248"/>
      <c r="S16" s="246">
        <f>S8/100*$L$2</f>
        <v>0</v>
      </c>
      <c r="T16" s="247"/>
      <c r="U16" s="247"/>
      <c r="V16" s="248"/>
      <c r="W16" s="153">
        <f t="shared" si="0"/>
        <v>13.08</v>
      </c>
      <c r="X16" s="154"/>
      <c r="Y16" s="154"/>
      <c r="Z16" s="155"/>
      <c r="AE16" s="35"/>
      <c r="AF16" s="35"/>
      <c r="AG16" s="35"/>
      <c r="AH16" s="35"/>
    </row>
    <row r="17" spans="1:26" ht="12.75" customHeight="1">
      <c r="A17" s="265"/>
      <c r="B17" s="125" t="s">
        <v>44</v>
      </c>
      <c r="C17" s="126"/>
      <c r="D17" s="126"/>
      <c r="E17" s="126"/>
      <c r="F17" s="161"/>
      <c r="G17" s="156">
        <f>G16-G13-G12</f>
        <v>-40.9</v>
      </c>
      <c r="H17" s="157"/>
      <c r="I17" s="157"/>
      <c r="J17" s="158"/>
      <c r="K17" s="160">
        <f>K16-K13-K12</f>
        <v>-29.82</v>
      </c>
      <c r="L17" s="157"/>
      <c r="M17" s="157"/>
      <c r="N17" s="158"/>
      <c r="O17" s="246">
        <f>O16-O13-O12</f>
        <v>0</v>
      </c>
      <c r="P17" s="247"/>
      <c r="Q17" s="247"/>
      <c r="R17" s="248"/>
      <c r="S17" s="246">
        <f>S16-S13-S12</f>
        <v>0</v>
      </c>
      <c r="T17" s="247"/>
      <c r="U17" s="247"/>
      <c r="V17" s="248"/>
      <c r="W17" s="153">
        <f t="shared" si="0"/>
        <v>-70.72</v>
      </c>
      <c r="X17" s="154"/>
      <c r="Y17" s="154"/>
      <c r="Z17" s="155"/>
    </row>
    <row r="18" spans="1:26" ht="12.75">
      <c r="A18" s="265"/>
      <c r="B18" s="125" t="s">
        <v>45</v>
      </c>
      <c r="C18" s="126"/>
      <c r="D18" s="126"/>
      <c r="E18" s="126"/>
      <c r="F18" s="161"/>
      <c r="G18" s="156">
        <f>G17+G15</f>
        <v>-40.9</v>
      </c>
      <c r="H18" s="157"/>
      <c r="I18" s="157"/>
      <c r="J18" s="158"/>
      <c r="K18" s="160">
        <f>K17+K15</f>
        <v>-29.82</v>
      </c>
      <c r="L18" s="157"/>
      <c r="M18" s="157"/>
      <c r="N18" s="158"/>
      <c r="O18" s="246">
        <f>O17+O15</f>
        <v>0</v>
      </c>
      <c r="P18" s="247"/>
      <c r="Q18" s="247"/>
      <c r="R18" s="248"/>
      <c r="S18" s="246">
        <f>S17+S15</f>
        <v>0</v>
      </c>
      <c r="T18" s="247"/>
      <c r="U18" s="247"/>
      <c r="V18" s="248"/>
      <c r="W18" s="153">
        <f t="shared" si="0"/>
        <v>-70.72</v>
      </c>
      <c r="X18" s="154"/>
      <c r="Y18" s="154"/>
      <c r="Z18" s="155"/>
    </row>
    <row r="19" spans="1:26" ht="12.75">
      <c r="A19" s="265"/>
      <c r="B19" s="194" t="s">
        <v>26</v>
      </c>
      <c r="C19" s="98"/>
      <c r="D19" s="98"/>
      <c r="E19" s="98"/>
      <c r="F19" s="195"/>
      <c r="G19" s="196">
        <f>$AG10/100*$AL$3</f>
        <v>-0.8719999999999999</v>
      </c>
      <c r="H19" s="197"/>
      <c r="I19" s="197"/>
      <c r="J19" s="198"/>
      <c r="K19" s="196">
        <f>$AG10/100*$AL$4</f>
        <v>-0.8719999999999999</v>
      </c>
      <c r="L19" s="197"/>
      <c r="M19" s="197"/>
      <c r="N19" s="198"/>
      <c r="O19" s="196">
        <v>0</v>
      </c>
      <c r="P19" s="197"/>
      <c r="Q19" s="197"/>
      <c r="R19" s="198"/>
      <c r="S19" s="196">
        <v>0</v>
      </c>
      <c r="T19" s="197"/>
      <c r="U19" s="197"/>
      <c r="V19" s="198"/>
      <c r="W19" s="153">
        <f t="shared" si="0"/>
        <v>-1.7439999999999998</v>
      </c>
      <c r="X19" s="154"/>
      <c r="Y19" s="154"/>
      <c r="Z19" s="155"/>
    </row>
    <row r="20" spans="1:26" ht="12.75" customHeight="1" thickBot="1">
      <c r="A20" s="265"/>
      <c r="B20" s="191" t="s">
        <v>28</v>
      </c>
      <c r="C20" s="192"/>
      <c r="D20" s="192"/>
      <c r="E20" s="192"/>
      <c r="F20" s="193"/>
      <c r="G20" s="149">
        <f>IF(G19&lt;0,G12,G12+G19)</f>
        <v>30</v>
      </c>
      <c r="H20" s="147"/>
      <c r="I20" s="147"/>
      <c r="J20" s="148"/>
      <c r="K20" s="146">
        <f>IF(K19&lt;0,K12,K12+K19)</f>
        <v>20</v>
      </c>
      <c r="L20" s="147"/>
      <c r="M20" s="147"/>
      <c r="N20" s="148"/>
      <c r="O20" s="255">
        <f>IF(O19&lt;0,O12,O12+O19)</f>
        <v>0</v>
      </c>
      <c r="P20" s="256"/>
      <c r="Q20" s="256"/>
      <c r="R20" s="257"/>
      <c r="S20" s="255">
        <f>IF(S19&lt;0,S12,S12+S19)</f>
        <v>0</v>
      </c>
      <c r="T20" s="256"/>
      <c r="U20" s="256"/>
      <c r="V20" s="257"/>
      <c r="W20" s="150">
        <f t="shared" si="0"/>
        <v>50</v>
      </c>
      <c r="X20" s="151"/>
      <c r="Y20" s="151"/>
      <c r="Z20" s="152"/>
    </row>
    <row r="21" spans="1:35" ht="12.75">
      <c r="A21" s="186" t="s">
        <v>62</v>
      </c>
      <c r="B21" s="93" t="s">
        <v>23</v>
      </c>
      <c r="C21" s="94"/>
      <c r="D21" s="94"/>
      <c r="E21" s="94"/>
      <c r="F21" s="199"/>
      <c r="G21" s="185">
        <v>1780</v>
      </c>
      <c r="H21" s="183"/>
      <c r="I21" s="183"/>
      <c r="J21" s="184"/>
      <c r="K21" s="182">
        <v>2000</v>
      </c>
      <c r="L21" s="183"/>
      <c r="M21" s="183"/>
      <c r="N21" s="184"/>
      <c r="O21" s="242">
        <v>0</v>
      </c>
      <c r="P21" s="243"/>
      <c r="Q21" s="243"/>
      <c r="R21" s="244"/>
      <c r="S21" s="242">
        <v>0</v>
      </c>
      <c r="T21" s="243"/>
      <c r="U21" s="243"/>
      <c r="V21" s="244"/>
      <c r="W21" s="170">
        <f t="shared" si="0"/>
        <v>3780</v>
      </c>
      <c r="X21" s="171"/>
      <c r="Y21" s="171"/>
      <c r="Z21" s="172"/>
      <c r="AA21" s="236" t="s">
        <v>53</v>
      </c>
      <c r="AB21" s="94"/>
      <c r="AC21" s="94"/>
      <c r="AD21" s="94"/>
      <c r="AE21" s="94"/>
      <c r="AF21" s="94"/>
      <c r="AG21" s="269">
        <v>1.47</v>
      </c>
      <c r="AH21" s="270"/>
      <c r="AI21" s="271"/>
    </row>
    <row r="22" spans="1:35" ht="12.75">
      <c r="A22" s="219"/>
      <c r="B22" s="125" t="s">
        <v>24</v>
      </c>
      <c r="C22" s="126"/>
      <c r="D22" s="126"/>
      <c r="E22" s="126"/>
      <c r="F22" s="161"/>
      <c r="G22" s="239">
        <v>1780</v>
      </c>
      <c r="H22" s="240"/>
      <c r="I22" s="240"/>
      <c r="J22" s="241"/>
      <c r="K22" s="166">
        <v>2000</v>
      </c>
      <c r="L22" s="167"/>
      <c r="M22" s="167"/>
      <c r="N22" s="168"/>
      <c r="O22" s="239">
        <v>0</v>
      </c>
      <c r="P22" s="240"/>
      <c r="Q22" s="240"/>
      <c r="R22" s="241"/>
      <c r="S22" s="239">
        <v>0</v>
      </c>
      <c r="T22" s="240"/>
      <c r="U22" s="240"/>
      <c r="V22" s="241"/>
      <c r="W22" s="153">
        <f t="shared" si="0"/>
        <v>3780</v>
      </c>
      <c r="X22" s="154"/>
      <c r="Y22" s="154"/>
      <c r="Z22" s="155"/>
      <c r="AA22" s="205" t="s">
        <v>54</v>
      </c>
      <c r="AB22" s="126"/>
      <c r="AC22" s="126"/>
      <c r="AD22" s="126"/>
      <c r="AE22" s="126"/>
      <c r="AF22" s="126"/>
      <c r="AG22" s="278">
        <v>53.56</v>
      </c>
      <c r="AH22" s="278"/>
      <c r="AI22" s="279"/>
    </row>
    <row r="23" spans="1:35" ht="12.75">
      <c r="A23" s="219"/>
      <c r="B23" s="237" t="s">
        <v>130</v>
      </c>
      <c r="C23" s="204"/>
      <c r="D23" s="204"/>
      <c r="E23" s="204"/>
      <c r="F23" s="259"/>
      <c r="G23" s="249">
        <v>0</v>
      </c>
      <c r="H23" s="250"/>
      <c r="I23" s="250"/>
      <c r="J23" s="251"/>
      <c r="K23" s="252">
        <v>0</v>
      </c>
      <c r="L23" s="253"/>
      <c r="M23" s="253"/>
      <c r="N23" s="254"/>
      <c r="O23" s="252">
        <v>0</v>
      </c>
      <c r="P23" s="253"/>
      <c r="Q23" s="253"/>
      <c r="R23" s="254"/>
      <c r="S23" s="252">
        <v>0</v>
      </c>
      <c r="T23" s="253"/>
      <c r="U23" s="253"/>
      <c r="V23" s="254"/>
      <c r="W23" s="260">
        <f>(G23*G22+K23*K22+O23*O22+S23*S22)/W22</f>
        <v>0</v>
      </c>
      <c r="X23" s="261"/>
      <c r="Y23" s="261"/>
      <c r="Z23" s="262"/>
      <c r="AA23" s="205" t="s">
        <v>55</v>
      </c>
      <c r="AB23" s="126"/>
      <c r="AC23" s="126"/>
      <c r="AD23" s="126"/>
      <c r="AE23" s="126"/>
      <c r="AF23" s="126"/>
      <c r="AG23" s="134">
        <f>AG22</f>
        <v>53.56</v>
      </c>
      <c r="AH23" s="134"/>
      <c r="AI23" s="135"/>
    </row>
    <row r="24" spans="1:35" ht="12.75">
      <c r="A24" s="219"/>
      <c r="B24" s="125" t="s">
        <v>29</v>
      </c>
      <c r="C24" s="126"/>
      <c r="D24" s="126"/>
      <c r="E24" s="126"/>
      <c r="F24" s="161"/>
      <c r="G24" s="246">
        <f>IF(G23&lt;=10,(G23*0.005+0.35)*G22/100,((G23-10)*0.015+0.4)*G22/100)</f>
        <v>6.23</v>
      </c>
      <c r="H24" s="247"/>
      <c r="I24" s="247"/>
      <c r="J24" s="248"/>
      <c r="K24" s="246">
        <f>IF(K23&lt;=10,(K23*0.005+0.35)*K22/100,((K23-10)*0.015+0.4)*K22/100)</f>
        <v>7</v>
      </c>
      <c r="L24" s="247"/>
      <c r="M24" s="247"/>
      <c r="N24" s="248"/>
      <c r="O24" s="246">
        <f>IF(O23&lt;=10,(O23*0.005+0.35)*O22/100,((O23-10)*0.015+0.4)*O22/100)</f>
        <v>0</v>
      </c>
      <c r="P24" s="247"/>
      <c r="Q24" s="247"/>
      <c r="R24" s="248"/>
      <c r="S24" s="246">
        <f>IF(S23&lt;=10,(S23*0.005+0.35)*S22/100,((S23-10)*0.015+0.4)*S22/100)</f>
        <v>0</v>
      </c>
      <c r="T24" s="247"/>
      <c r="U24" s="247"/>
      <c r="V24" s="248"/>
      <c r="W24" s="153">
        <f aca="true" t="shared" si="1" ref="W24:W36">G24+K24+O24+S24</f>
        <v>13.23</v>
      </c>
      <c r="X24" s="154"/>
      <c r="Y24" s="154"/>
      <c r="Z24" s="155"/>
      <c r="AA24" s="205" t="s">
        <v>56</v>
      </c>
      <c r="AB24" s="126"/>
      <c r="AC24" s="126"/>
      <c r="AD24" s="126"/>
      <c r="AE24" s="126"/>
      <c r="AF24" s="126"/>
      <c r="AG24" s="134">
        <f>W32+AG23</f>
        <v>-7.559999999999995</v>
      </c>
      <c r="AH24" s="134"/>
      <c r="AI24" s="135"/>
    </row>
    <row r="25" spans="1:35" ht="13.5" thickBot="1">
      <c r="A25" s="219"/>
      <c r="B25" s="125" t="s">
        <v>10</v>
      </c>
      <c r="C25" s="126"/>
      <c r="D25" s="126"/>
      <c r="E25" s="126"/>
      <c r="F25" s="161"/>
      <c r="G25" s="169">
        <v>30</v>
      </c>
      <c r="H25" s="167"/>
      <c r="I25" s="167"/>
      <c r="J25" s="168"/>
      <c r="K25" s="166">
        <v>20</v>
      </c>
      <c r="L25" s="167"/>
      <c r="M25" s="167"/>
      <c r="N25" s="168"/>
      <c r="O25" s="239">
        <v>0</v>
      </c>
      <c r="P25" s="240"/>
      <c r="Q25" s="240"/>
      <c r="R25" s="241"/>
      <c r="S25" s="239">
        <v>0</v>
      </c>
      <c r="T25" s="240"/>
      <c r="U25" s="240"/>
      <c r="V25" s="241"/>
      <c r="W25" s="153">
        <f t="shared" si="1"/>
        <v>50</v>
      </c>
      <c r="X25" s="154"/>
      <c r="Y25" s="154"/>
      <c r="Z25" s="155"/>
      <c r="AA25" s="232" t="s">
        <v>57</v>
      </c>
      <c r="AB25" s="90"/>
      <c r="AC25" s="90"/>
      <c r="AD25" s="90"/>
      <c r="AE25" s="90"/>
      <c r="AF25" s="90"/>
      <c r="AG25" s="91">
        <f>-AG23+AG24-W33</f>
        <v>-58.096</v>
      </c>
      <c r="AH25" s="91"/>
      <c r="AI25" s="85"/>
    </row>
    <row r="26" spans="1:35" ht="13.5" thickBot="1">
      <c r="A26" s="219"/>
      <c r="B26" s="125" t="s">
        <v>58</v>
      </c>
      <c r="C26" s="126"/>
      <c r="D26" s="126"/>
      <c r="E26" s="126"/>
      <c r="F26" s="161"/>
      <c r="G26" s="156">
        <f>IF(G24&lt;G25,G25,G24)</f>
        <v>30</v>
      </c>
      <c r="H26" s="157"/>
      <c r="I26" s="157"/>
      <c r="J26" s="158"/>
      <c r="K26" s="160">
        <f>IF(K24&lt;K25,K25,K24)</f>
        <v>20</v>
      </c>
      <c r="L26" s="157"/>
      <c r="M26" s="157"/>
      <c r="N26" s="158"/>
      <c r="O26" s="246">
        <f>IF(O24&lt;O25,O25,O24)</f>
        <v>0</v>
      </c>
      <c r="P26" s="247"/>
      <c r="Q26" s="247"/>
      <c r="R26" s="248"/>
      <c r="S26" s="246">
        <f>IF(S24&lt;S25,S25,S24)</f>
        <v>0</v>
      </c>
      <c r="T26" s="247"/>
      <c r="U26" s="247"/>
      <c r="V26" s="248"/>
      <c r="W26" s="153">
        <f t="shared" si="1"/>
        <v>50</v>
      </c>
      <c r="X26" s="154"/>
      <c r="Y26" s="154"/>
      <c r="Z26" s="155"/>
      <c r="AA26" s="230" t="s">
        <v>59</v>
      </c>
      <c r="AB26" s="231"/>
      <c r="AC26" s="231"/>
      <c r="AD26" s="231"/>
      <c r="AE26" s="231"/>
      <c r="AF26" s="231"/>
      <c r="AG26" s="266">
        <f>AG22+AG25</f>
        <v>-4.535999999999994</v>
      </c>
      <c r="AH26" s="267"/>
      <c r="AI26" s="268"/>
    </row>
    <row r="27" spans="1:35" ht="12.75">
      <c r="A27" s="219"/>
      <c r="B27" s="125" t="s">
        <v>41</v>
      </c>
      <c r="C27" s="126"/>
      <c r="D27" s="126"/>
      <c r="E27" s="126"/>
      <c r="F27" s="161"/>
      <c r="G27" s="156">
        <v>16.9</v>
      </c>
      <c r="H27" s="157"/>
      <c r="I27" s="157"/>
      <c r="J27" s="158"/>
      <c r="K27" s="156">
        <v>16.9</v>
      </c>
      <c r="L27" s="157"/>
      <c r="M27" s="157"/>
      <c r="N27" s="158"/>
      <c r="O27" s="246">
        <v>0</v>
      </c>
      <c r="P27" s="247"/>
      <c r="Q27" s="247"/>
      <c r="R27" s="248"/>
      <c r="S27" s="246">
        <v>0</v>
      </c>
      <c r="T27" s="247"/>
      <c r="U27" s="247"/>
      <c r="V27" s="248"/>
      <c r="W27" s="153">
        <f t="shared" si="1"/>
        <v>33.8</v>
      </c>
      <c r="X27" s="154"/>
      <c r="Y27" s="154"/>
      <c r="Z27" s="155"/>
      <c r="AA27" s="136">
        <f>(W27+W26)/W22*100-$L$2</f>
        <v>1.6169312169312167</v>
      </c>
      <c r="AB27" s="136"/>
      <c r="AC27" s="136"/>
      <c r="AD27" s="136"/>
      <c r="AE27" s="136"/>
      <c r="AF27" s="136"/>
      <c r="AG27" s="136"/>
      <c r="AH27" s="136"/>
      <c r="AI27" s="136"/>
    </row>
    <row r="28" spans="1:35" ht="12.75">
      <c r="A28" s="219"/>
      <c r="B28" s="125" t="s">
        <v>42</v>
      </c>
      <c r="C28" s="126"/>
      <c r="D28" s="126"/>
      <c r="E28" s="126"/>
      <c r="F28" s="161"/>
      <c r="G28" s="169">
        <v>16.9</v>
      </c>
      <c r="H28" s="167"/>
      <c r="I28" s="167"/>
      <c r="J28" s="168"/>
      <c r="K28" s="169">
        <v>16.9</v>
      </c>
      <c r="L28" s="167"/>
      <c r="M28" s="167"/>
      <c r="N28" s="168"/>
      <c r="O28" s="239">
        <v>0</v>
      </c>
      <c r="P28" s="240"/>
      <c r="Q28" s="240"/>
      <c r="R28" s="241"/>
      <c r="S28" s="239">
        <v>0</v>
      </c>
      <c r="T28" s="240"/>
      <c r="U28" s="240"/>
      <c r="V28" s="241"/>
      <c r="W28" s="153">
        <f t="shared" si="1"/>
        <v>33.8</v>
      </c>
      <c r="X28" s="154"/>
      <c r="Y28" s="154"/>
      <c r="Z28" s="155"/>
      <c r="AA28" s="132">
        <f>AG21*W21/100</f>
        <v>55.565999999999995</v>
      </c>
      <c r="AB28" s="233"/>
      <c r="AC28" s="233"/>
      <c r="AD28" s="233"/>
      <c r="AE28" s="233"/>
      <c r="AF28" s="233"/>
      <c r="AG28" s="233"/>
      <c r="AH28" s="233"/>
      <c r="AI28" s="233"/>
    </row>
    <row r="29" spans="1:30" ht="12.75">
      <c r="A29" s="219"/>
      <c r="B29" s="125" t="s">
        <v>43</v>
      </c>
      <c r="C29" s="126"/>
      <c r="D29" s="126"/>
      <c r="E29" s="126"/>
      <c r="F29" s="161"/>
      <c r="G29" s="165">
        <f>G27-G28</f>
        <v>0</v>
      </c>
      <c r="H29" s="163"/>
      <c r="I29" s="163"/>
      <c r="J29" s="164"/>
      <c r="K29" s="162">
        <f>K27-K28</f>
        <v>0</v>
      </c>
      <c r="L29" s="163"/>
      <c r="M29" s="163"/>
      <c r="N29" s="164"/>
      <c r="O29" s="275">
        <f>O27-O28</f>
        <v>0</v>
      </c>
      <c r="P29" s="276"/>
      <c r="Q29" s="276"/>
      <c r="R29" s="277"/>
      <c r="S29" s="275">
        <v>0</v>
      </c>
      <c r="T29" s="276"/>
      <c r="U29" s="276"/>
      <c r="V29" s="277"/>
      <c r="W29" s="153">
        <f t="shared" si="1"/>
        <v>0</v>
      </c>
      <c r="X29" s="154"/>
      <c r="Y29" s="154"/>
      <c r="Z29" s="155"/>
      <c r="AA29" s="280">
        <f>IF(G23&lt;10,($L$2+0.005*G23),($L$2+0.05+(G23-10)*0.015))</f>
        <v>0.6</v>
      </c>
      <c r="AB29" s="281"/>
      <c r="AC29" s="280">
        <f>IF(K23&lt;10,($L$2+0.005*K23),($L$2+0.05+(K23-10)*0.015))</f>
        <v>0.6</v>
      </c>
      <c r="AD29" s="281"/>
    </row>
    <row r="30" spans="1:26" ht="12.75">
      <c r="A30" s="219"/>
      <c r="B30" s="125" t="s">
        <v>30</v>
      </c>
      <c r="C30" s="126"/>
      <c r="D30" s="126"/>
      <c r="E30" s="126"/>
      <c r="F30" s="161"/>
      <c r="G30" s="156">
        <f>G22/100*AA29</f>
        <v>10.68</v>
      </c>
      <c r="H30" s="157"/>
      <c r="I30" s="157"/>
      <c r="J30" s="158"/>
      <c r="K30" s="160">
        <f>K22/100*AC29</f>
        <v>12</v>
      </c>
      <c r="L30" s="157"/>
      <c r="M30" s="157"/>
      <c r="N30" s="158"/>
      <c r="O30" s="246">
        <f>O22/100*$L$2</f>
        <v>0</v>
      </c>
      <c r="P30" s="247"/>
      <c r="Q30" s="247"/>
      <c r="R30" s="248"/>
      <c r="S30" s="246">
        <f>S22/100*$L$2</f>
        <v>0</v>
      </c>
      <c r="T30" s="247"/>
      <c r="U30" s="247"/>
      <c r="V30" s="248"/>
      <c r="W30" s="153">
        <f t="shared" si="1"/>
        <v>22.68</v>
      </c>
      <c r="X30" s="154"/>
      <c r="Y30" s="154"/>
      <c r="Z30" s="155"/>
    </row>
    <row r="31" spans="1:26" ht="12.75" customHeight="1">
      <c r="A31" s="219"/>
      <c r="B31" s="125" t="s">
        <v>44</v>
      </c>
      <c r="C31" s="126"/>
      <c r="D31" s="126"/>
      <c r="E31" s="126"/>
      <c r="F31" s="161"/>
      <c r="G31" s="156">
        <f>G30-G27-G26</f>
        <v>-36.22</v>
      </c>
      <c r="H31" s="157"/>
      <c r="I31" s="157"/>
      <c r="J31" s="158"/>
      <c r="K31" s="160">
        <f>K30-K27-K26</f>
        <v>-24.9</v>
      </c>
      <c r="L31" s="157"/>
      <c r="M31" s="157"/>
      <c r="N31" s="158"/>
      <c r="O31" s="246">
        <f>O30-O27-O26</f>
        <v>0</v>
      </c>
      <c r="P31" s="247"/>
      <c r="Q31" s="247"/>
      <c r="R31" s="248"/>
      <c r="S31" s="246">
        <f>S30-S27-S26</f>
        <v>0</v>
      </c>
      <c r="T31" s="247"/>
      <c r="U31" s="247"/>
      <c r="V31" s="248"/>
      <c r="W31" s="153">
        <f t="shared" si="1"/>
        <v>-61.12</v>
      </c>
      <c r="X31" s="154"/>
      <c r="Y31" s="154"/>
      <c r="Z31" s="155"/>
    </row>
    <row r="32" spans="1:26" ht="12.75">
      <c r="A32" s="219"/>
      <c r="B32" s="125" t="s">
        <v>45</v>
      </c>
      <c r="C32" s="126"/>
      <c r="D32" s="126"/>
      <c r="E32" s="126"/>
      <c r="F32" s="161"/>
      <c r="G32" s="156">
        <f>G31+G29</f>
        <v>-36.22</v>
      </c>
      <c r="H32" s="157"/>
      <c r="I32" s="157"/>
      <c r="J32" s="158"/>
      <c r="K32" s="160">
        <f>K31+K29</f>
        <v>-24.9</v>
      </c>
      <c r="L32" s="157"/>
      <c r="M32" s="157"/>
      <c r="N32" s="158"/>
      <c r="O32" s="246">
        <f>O31+O29</f>
        <v>0</v>
      </c>
      <c r="P32" s="247"/>
      <c r="Q32" s="247"/>
      <c r="R32" s="248"/>
      <c r="S32" s="246">
        <f>S31+S29</f>
        <v>0</v>
      </c>
      <c r="T32" s="247"/>
      <c r="U32" s="247"/>
      <c r="V32" s="248"/>
      <c r="W32" s="153">
        <f t="shared" si="1"/>
        <v>-61.12</v>
      </c>
      <c r="X32" s="154"/>
      <c r="Y32" s="154"/>
      <c r="Z32" s="155"/>
    </row>
    <row r="33" spans="1:26" ht="12.75">
      <c r="A33" s="219"/>
      <c r="B33" s="194" t="s">
        <v>26</v>
      </c>
      <c r="C33" s="98"/>
      <c r="D33" s="98"/>
      <c r="E33" s="98"/>
      <c r="F33" s="195"/>
      <c r="G33" s="196">
        <f>$AG24/100*$AL$3</f>
        <v>-1.511999999999999</v>
      </c>
      <c r="H33" s="197"/>
      <c r="I33" s="197"/>
      <c r="J33" s="198"/>
      <c r="K33" s="196">
        <f>$AG24/100*$AL$4</f>
        <v>-1.511999999999999</v>
      </c>
      <c r="L33" s="197"/>
      <c r="M33" s="197"/>
      <c r="N33" s="198"/>
      <c r="O33" s="196">
        <v>0</v>
      </c>
      <c r="P33" s="197"/>
      <c r="Q33" s="197"/>
      <c r="R33" s="198"/>
      <c r="S33" s="196">
        <v>0</v>
      </c>
      <c r="T33" s="197"/>
      <c r="U33" s="197"/>
      <c r="V33" s="198"/>
      <c r="W33" s="153">
        <f t="shared" si="1"/>
        <v>-3.023999999999998</v>
      </c>
      <c r="X33" s="154"/>
      <c r="Y33" s="154"/>
      <c r="Z33" s="155"/>
    </row>
    <row r="34" spans="1:26" ht="12.75" customHeight="1" thickBot="1">
      <c r="A34" s="220"/>
      <c r="B34" s="191" t="s">
        <v>28</v>
      </c>
      <c r="C34" s="192"/>
      <c r="D34" s="192"/>
      <c r="E34" s="192"/>
      <c r="F34" s="193"/>
      <c r="G34" s="149">
        <f>IF(G33&lt;0,G26,G26+G33)</f>
        <v>30</v>
      </c>
      <c r="H34" s="147"/>
      <c r="I34" s="147"/>
      <c r="J34" s="148"/>
      <c r="K34" s="146">
        <f>IF(K33&lt;0,K26,K26+K33)</f>
        <v>20</v>
      </c>
      <c r="L34" s="147"/>
      <c r="M34" s="147"/>
      <c r="N34" s="148"/>
      <c r="O34" s="255">
        <f>IF(O33&lt;0,O26,O26+O33)</f>
        <v>0</v>
      </c>
      <c r="P34" s="256"/>
      <c r="Q34" s="256"/>
      <c r="R34" s="257"/>
      <c r="S34" s="255">
        <f>IF(S33&lt;0,S26,S26+S33)</f>
        <v>0</v>
      </c>
      <c r="T34" s="256"/>
      <c r="U34" s="256"/>
      <c r="V34" s="257"/>
      <c r="W34" s="150">
        <f t="shared" si="1"/>
        <v>50</v>
      </c>
      <c r="X34" s="151"/>
      <c r="Y34" s="151"/>
      <c r="Z34" s="152"/>
    </row>
    <row r="35" spans="1:35" ht="12.75">
      <c r="A35" s="188" t="s">
        <v>63</v>
      </c>
      <c r="B35" s="93" t="s">
        <v>23</v>
      </c>
      <c r="C35" s="94"/>
      <c r="D35" s="94"/>
      <c r="E35" s="94"/>
      <c r="F35" s="199"/>
      <c r="G35" s="185">
        <v>1880</v>
      </c>
      <c r="H35" s="183"/>
      <c r="I35" s="183"/>
      <c r="J35" s="184"/>
      <c r="K35" s="182">
        <v>4000</v>
      </c>
      <c r="L35" s="183"/>
      <c r="M35" s="183"/>
      <c r="N35" s="184"/>
      <c r="O35" s="242">
        <v>0</v>
      </c>
      <c r="P35" s="243"/>
      <c r="Q35" s="243"/>
      <c r="R35" s="244"/>
      <c r="S35" s="242">
        <v>0</v>
      </c>
      <c r="T35" s="243"/>
      <c r="U35" s="243"/>
      <c r="V35" s="244"/>
      <c r="W35" s="170">
        <f t="shared" si="1"/>
        <v>5880</v>
      </c>
      <c r="X35" s="171"/>
      <c r="Y35" s="171"/>
      <c r="Z35" s="172"/>
      <c r="AA35" s="236" t="s">
        <v>53</v>
      </c>
      <c r="AB35" s="94"/>
      <c r="AC35" s="94"/>
      <c r="AD35" s="94"/>
      <c r="AE35" s="94"/>
      <c r="AF35" s="94"/>
      <c r="AG35" s="269">
        <v>0.676</v>
      </c>
      <c r="AH35" s="270"/>
      <c r="AI35" s="271"/>
    </row>
    <row r="36" spans="1:35" ht="12.75">
      <c r="A36" s="187"/>
      <c r="B36" s="125" t="s">
        <v>24</v>
      </c>
      <c r="C36" s="126"/>
      <c r="D36" s="126"/>
      <c r="E36" s="126"/>
      <c r="F36" s="161"/>
      <c r="G36" s="239">
        <v>1880</v>
      </c>
      <c r="H36" s="240"/>
      <c r="I36" s="240"/>
      <c r="J36" s="241"/>
      <c r="K36" s="166">
        <v>4000</v>
      </c>
      <c r="L36" s="167"/>
      <c r="M36" s="167"/>
      <c r="N36" s="168"/>
      <c r="O36" s="239">
        <v>0</v>
      </c>
      <c r="P36" s="240"/>
      <c r="Q36" s="240"/>
      <c r="R36" s="241"/>
      <c r="S36" s="239">
        <v>0</v>
      </c>
      <c r="T36" s="240"/>
      <c r="U36" s="240"/>
      <c r="V36" s="241"/>
      <c r="W36" s="153">
        <f t="shared" si="1"/>
        <v>5880</v>
      </c>
      <c r="X36" s="154"/>
      <c r="Y36" s="154"/>
      <c r="Z36" s="155"/>
      <c r="AA36" s="205" t="s">
        <v>54</v>
      </c>
      <c r="AB36" s="126"/>
      <c r="AC36" s="126"/>
      <c r="AD36" s="126"/>
      <c r="AE36" s="126"/>
      <c r="AF36" s="126"/>
      <c r="AG36" s="278">
        <v>36.76</v>
      </c>
      <c r="AH36" s="278"/>
      <c r="AI36" s="279"/>
    </row>
    <row r="37" spans="1:35" ht="12.75">
      <c r="A37" s="187"/>
      <c r="B37" s="237" t="s">
        <v>130</v>
      </c>
      <c r="C37" s="204"/>
      <c r="D37" s="204"/>
      <c r="E37" s="204"/>
      <c r="F37" s="259"/>
      <c r="G37" s="249">
        <v>0</v>
      </c>
      <c r="H37" s="250"/>
      <c r="I37" s="250"/>
      <c r="J37" s="251"/>
      <c r="K37" s="252">
        <v>0</v>
      </c>
      <c r="L37" s="253"/>
      <c r="M37" s="253"/>
      <c r="N37" s="254"/>
      <c r="O37" s="252">
        <v>0</v>
      </c>
      <c r="P37" s="253"/>
      <c r="Q37" s="253"/>
      <c r="R37" s="254"/>
      <c r="S37" s="252">
        <v>0</v>
      </c>
      <c r="T37" s="253"/>
      <c r="U37" s="253"/>
      <c r="V37" s="254"/>
      <c r="W37" s="260">
        <f>(G37*G36+K37*K36+O37*O36+S37*S36)/W36</f>
        <v>0</v>
      </c>
      <c r="X37" s="261"/>
      <c r="Y37" s="261"/>
      <c r="Z37" s="262"/>
      <c r="AA37" s="205" t="s">
        <v>55</v>
      </c>
      <c r="AB37" s="126"/>
      <c r="AC37" s="126"/>
      <c r="AD37" s="126"/>
      <c r="AE37" s="126"/>
      <c r="AF37" s="126"/>
      <c r="AG37" s="134">
        <f>AG36</f>
        <v>36.76</v>
      </c>
      <c r="AH37" s="134"/>
      <c r="AI37" s="135"/>
    </row>
    <row r="38" spans="1:35" ht="12.75">
      <c r="A38" s="187"/>
      <c r="B38" s="125" t="s">
        <v>29</v>
      </c>
      <c r="C38" s="126"/>
      <c r="D38" s="126"/>
      <c r="E38" s="126"/>
      <c r="F38" s="161"/>
      <c r="G38" s="246">
        <f>IF(G37&lt;=10,(G37*0.005+0.35)*G36/100,((G37-10)*0.015+0.4)*G36/100)</f>
        <v>6.58</v>
      </c>
      <c r="H38" s="247"/>
      <c r="I38" s="247"/>
      <c r="J38" s="248"/>
      <c r="K38" s="246">
        <f>IF(K37&lt;=10,(K37*0.005+0.35)*K36/100,((K37-10)*0.015+0.4)*K36/100)</f>
        <v>14</v>
      </c>
      <c r="L38" s="247"/>
      <c r="M38" s="247"/>
      <c r="N38" s="248"/>
      <c r="O38" s="246">
        <f>IF(O37&lt;=10,(O37*0.005+0.35)*O36/100,((O37-10)*0.015+0.4)*O36/100)</f>
        <v>0</v>
      </c>
      <c r="P38" s="247"/>
      <c r="Q38" s="247"/>
      <c r="R38" s="248"/>
      <c r="S38" s="246">
        <f>IF(S37&lt;=10,(S37*0.005+0.35)*S36/100,((S37-10)*0.015+0.4)*S36/100)</f>
        <v>0</v>
      </c>
      <c r="T38" s="247"/>
      <c r="U38" s="247"/>
      <c r="V38" s="248"/>
      <c r="W38" s="153">
        <f aca="true" t="shared" si="2" ref="W38:W50">G38+K38+O38+S38</f>
        <v>20.58</v>
      </c>
      <c r="X38" s="154"/>
      <c r="Y38" s="154"/>
      <c r="Z38" s="155"/>
      <c r="AA38" s="205" t="s">
        <v>56</v>
      </c>
      <c r="AB38" s="126"/>
      <c r="AC38" s="126"/>
      <c r="AD38" s="126"/>
      <c r="AE38" s="126"/>
      <c r="AF38" s="126"/>
      <c r="AG38" s="134">
        <f>W46+AG37</f>
        <v>-11.759999999999998</v>
      </c>
      <c r="AH38" s="134"/>
      <c r="AI38" s="135"/>
    </row>
    <row r="39" spans="1:35" ht="13.5" thickBot="1">
      <c r="A39" s="187"/>
      <c r="B39" s="125" t="s">
        <v>10</v>
      </c>
      <c r="C39" s="126"/>
      <c r="D39" s="126"/>
      <c r="E39" s="126"/>
      <c r="F39" s="161"/>
      <c r="G39" s="169">
        <v>30</v>
      </c>
      <c r="H39" s="167"/>
      <c r="I39" s="167"/>
      <c r="J39" s="168"/>
      <c r="K39" s="166">
        <v>20</v>
      </c>
      <c r="L39" s="167"/>
      <c r="M39" s="167"/>
      <c r="N39" s="168"/>
      <c r="O39" s="239">
        <v>0</v>
      </c>
      <c r="P39" s="240"/>
      <c r="Q39" s="240"/>
      <c r="R39" s="241"/>
      <c r="S39" s="239">
        <v>0</v>
      </c>
      <c r="T39" s="240"/>
      <c r="U39" s="240"/>
      <c r="V39" s="241"/>
      <c r="W39" s="153">
        <f t="shared" si="2"/>
        <v>50</v>
      </c>
      <c r="X39" s="154"/>
      <c r="Y39" s="154"/>
      <c r="Z39" s="155"/>
      <c r="AA39" s="232" t="s">
        <v>57</v>
      </c>
      <c r="AB39" s="90"/>
      <c r="AC39" s="90"/>
      <c r="AD39" s="90"/>
      <c r="AE39" s="90"/>
      <c r="AF39" s="90"/>
      <c r="AG39" s="91">
        <f>-AG37+AG38-W47</f>
        <v>-43.815999999999995</v>
      </c>
      <c r="AH39" s="91"/>
      <c r="AI39" s="85"/>
    </row>
    <row r="40" spans="1:35" ht="13.5" thickBot="1">
      <c r="A40" s="187"/>
      <c r="B40" s="125" t="s">
        <v>58</v>
      </c>
      <c r="C40" s="126"/>
      <c r="D40" s="126"/>
      <c r="E40" s="126"/>
      <c r="F40" s="161"/>
      <c r="G40" s="156">
        <f>IF(G38&lt;G39,G39,G38)</f>
        <v>30</v>
      </c>
      <c r="H40" s="157"/>
      <c r="I40" s="157"/>
      <c r="J40" s="158"/>
      <c r="K40" s="160">
        <f>IF(K38&lt;K39,K39,K38)</f>
        <v>20</v>
      </c>
      <c r="L40" s="157"/>
      <c r="M40" s="157"/>
      <c r="N40" s="158"/>
      <c r="O40" s="246">
        <f>IF(O38&lt;O39,O39,O38)</f>
        <v>0</v>
      </c>
      <c r="P40" s="247"/>
      <c r="Q40" s="247"/>
      <c r="R40" s="248"/>
      <c r="S40" s="246">
        <f>IF(S38&lt;S39,S39,S38)</f>
        <v>0</v>
      </c>
      <c r="T40" s="247"/>
      <c r="U40" s="247"/>
      <c r="V40" s="248"/>
      <c r="W40" s="153">
        <f t="shared" si="2"/>
        <v>50</v>
      </c>
      <c r="X40" s="154"/>
      <c r="Y40" s="154"/>
      <c r="Z40" s="155"/>
      <c r="AA40" s="230" t="s">
        <v>59</v>
      </c>
      <c r="AB40" s="231"/>
      <c r="AC40" s="231"/>
      <c r="AD40" s="231"/>
      <c r="AE40" s="231"/>
      <c r="AF40" s="231"/>
      <c r="AG40" s="266">
        <f>AG36+AG39</f>
        <v>-7.055999999999997</v>
      </c>
      <c r="AH40" s="267"/>
      <c r="AI40" s="268"/>
    </row>
    <row r="41" spans="1:35" ht="12.75">
      <c r="A41" s="187"/>
      <c r="B41" s="125" t="s">
        <v>41</v>
      </c>
      <c r="C41" s="126"/>
      <c r="D41" s="126"/>
      <c r="E41" s="126"/>
      <c r="F41" s="161"/>
      <c r="G41" s="156">
        <v>16.9</v>
      </c>
      <c r="H41" s="157"/>
      <c r="I41" s="157"/>
      <c r="J41" s="158"/>
      <c r="K41" s="156">
        <v>16.9</v>
      </c>
      <c r="L41" s="157"/>
      <c r="M41" s="157"/>
      <c r="N41" s="158"/>
      <c r="O41" s="246">
        <v>0</v>
      </c>
      <c r="P41" s="247"/>
      <c r="Q41" s="247"/>
      <c r="R41" s="248"/>
      <c r="S41" s="246">
        <v>0</v>
      </c>
      <c r="T41" s="247"/>
      <c r="U41" s="247"/>
      <c r="V41" s="248"/>
      <c r="W41" s="153">
        <f t="shared" si="2"/>
        <v>33.8</v>
      </c>
      <c r="X41" s="154"/>
      <c r="Y41" s="154"/>
      <c r="Z41" s="155"/>
      <c r="AA41" s="136">
        <f>(W41+W40)/W36*100-$L$2</f>
        <v>0.8251700680272108</v>
      </c>
      <c r="AB41" s="136"/>
      <c r="AC41" s="136"/>
      <c r="AD41" s="136"/>
      <c r="AE41" s="136"/>
      <c r="AF41" s="136"/>
      <c r="AG41" s="136"/>
      <c r="AH41" s="136"/>
      <c r="AI41" s="136"/>
    </row>
    <row r="42" spans="1:35" ht="12.75">
      <c r="A42" s="187"/>
      <c r="B42" s="125" t="s">
        <v>42</v>
      </c>
      <c r="C42" s="126"/>
      <c r="D42" s="126"/>
      <c r="E42" s="126"/>
      <c r="F42" s="161"/>
      <c r="G42" s="169">
        <v>16.9</v>
      </c>
      <c r="H42" s="167"/>
      <c r="I42" s="167"/>
      <c r="J42" s="168"/>
      <c r="K42" s="169">
        <v>16.9</v>
      </c>
      <c r="L42" s="167"/>
      <c r="M42" s="167"/>
      <c r="N42" s="168"/>
      <c r="O42" s="239">
        <v>0</v>
      </c>
      <c r="P42" s="240"/>
      <c r="Q42" s="240"/>
      <c r="R42" s="241"/>
      <c r="S42" s="239">
        <v>0</v>
      </c>
      <c r="T42" s="240"/>
      <c r="U42" s="240"/>
      <c r="V42" s="241"/>
      <c r="W42" s="153">
        <f t="shared" si="2"/>
        <v>33.8</v>
      </c>
      <c r="X42" s="154"/>
      <c r="Y42" s="154"/>
      <c r="Z42" s="155"/>
      <c r="AA42" s="132">
        <f>AG35*W35/100</f>
        <v>39.7488</v>
      </c>
      <c r="AB42" s="233"/>
      <c r="AC42" s="233"/>
      <c r="AD42" s="233"/>
      <c r="AE42" s="233"/>
      <c r="AF42" s="233"/>
      <c r="AG42" s="233"/>
      <c r="AH42" s="233"/>
      <c r="AI42" s="233"/>
    </row>
    <row r="43" spans="1:30" ht="12.75">
      <c r="A43" s="187"/>
      <c r="B43" s="125" t="s">
        <v>43</v>
      </c>
      <c r="C43" s="126"/>
      <c r="D43" s="126"/>
      <c r="E43" s="126"/>
      <c r="F43" s="161"/>
      <c r="G43" s="165">
        <f>G41-G42</f>
        <v>0</v>
      </c>
      <c r="H43" s="163"/>
      <c r="I43" s="163"/>
      <c r="J43" s="164"/>
      <c r="K43" s="162">
        <f>K41-K42</f>
        <v>0</v>
      </c>
      <c r="L43" s="163"/>
      <c r="M43" s="163"/>
      <c r="N43" s="164"/>
      <c r="O43" s="275">
        <f>O41-O42</f>
        <v>0</v>
      </c>
      <c r="P43" s="276"/>
      <c r="Q43" s="276"/>
      <c r="R43" s="277"/>
      <c r="S43" s="275">
        <v>0</v>
      </c>
      <c r="T43" s="276"/>
      <c r="U43" s="276"/>
      <c r="V43" s="277"/>
      <c r="W43" s="153">
        <f t="shared" si="2"/>
        <v>0</v>
      </c>
      <c r="X43" s="154"/>
      <c r="Y43" s="154"/>
      <c r="Z43" s="155"/>
      <c r="AA43" s="280">
        <f>IF(G37&lt;10,($L$2+0.005*G37),($L$2+0.05+(G37-10)*0.015))</f>
        <v>0.6</v>
      </c>
      <c r="AB43" s="281"/>
      <c r="AC43" s="280">
        <f>IF(K37&lt;10,($L$2+0.005*K37),($L$2+0.05+(K37-10)*0.015))</f>
        <v>0.6</v>
      </c>
      <c r="AD43" s="281"/>
    </row>
    <row r="44" spans="1:26" ht="12.75">
      <c r="A44" s="187"/>
      <c r="B44" s="125" t="s">
        <v>30</v>
      </c>
      <c r="C44" s="126"/>
      <c r="D44" s="126"/>
      <c r="E44" s="126"/>
      <c r="F44" s="161"/>
      <c r="G44" s="156">
        <f>G36/100*AA43</f>
        <v>11.28</v>
      </c>
      <c r="H44" s="157"/>
      <c r="I44" s="157"/>
      <c r="J44" s="158"/>
      <c r="K44" s="160">
        <f>K36/100*AC43</f>
        <v>24</v>
      </c>
      <c r="L44" s="157"/>
      <c r="M44" s="157"/>
      <c r="N44" s="158"/>
      <c r="O44" s="246">
        <f>O36/100*$L$2</f>
        <v>0</v>
      </c>
      <c r="P44" s="247"/>
      <c r="Q44" s="247"/>
      <c r="R44" s="248"/>
      <c r="S44" s="246">
        <f>S36/100*$L$2</f>
        <v>0</v>
      </c>
      <c r="T44" s="247"/>
      <c r="U44" s="247"/>
      <c r="V44" s="248"/>
      <c r="W44" s="153">
        <f t="shared" si="2"/>
        <v>35.28</v>
      </c>
      <c r="X44" s="154"/>
      <c r="Y44" s="154"/>
      <c r="Z44" s="155"/>
    </row>
    <row r="45" spans="1:26" ht="12.75" customHeight="1">
      <c r="A45" s="187"/>
      <c r="B45" s="125" t="s">
        <v>44</v>
      </c>
      <c r="C45" s="126"/>
      <c r="D45" s="126"/>
      <c r="E45" s="126"/>
      <c r="F45" s="161"/>
      <c r="G45" s="156">
        <f>G44-G41-G40</f>
        <v>-35.62</v>
      </c>
      <c r="H45" s="157"/>
      <c r="I45" s="157"/>
      <c r="J45" s="158"/>
      <c r="K45" s="160">
        <f>K44-K41-K40</f>
        <v>-12.899999999999999</v>
      </c>
      <c r="L45" s="157"/>
      <c r="M45" s="157"/>
      <c r="N45" s="158"/>
      <c r="O45" s="246">
        <f>O44-O41-O40</f>
        <v>0</v>
      </c>
      <c r="P45" s="247"/>
      <c r="Q45" s="247"/>
      <c r="R45" s="248"/>
      <c r="S45" s="246">
        <f>S44-S41-S40</f>
        <v>0</v>
      </c>
      <c r="T45" s="247"/>
      <c r="U45" s="247"/>
      <c r="V45" s="248"/>
      <c r="W45" s="153">
        <f t="shared" si="2"/>
        <v>-48.519999999999996</v>
      </c>
      <c r="X45" s="154"/>
      <c r="Y45" s="154"/>
      <c r="Z45" s="155"/>
    </row>
    <row r="46" spans="1:26" ht="12.75">
      <c r="A46" s="187"/>
      <c r="B46" s="125" t="s">
        <v>45</v>
      </c>
      <c r="C46" s="126"/>
      <c r="D46" s="126"/>
      <c r="E46" s="126"/>
      <c r="F46" s="161"/>
      <c r="G46" s="156">
        <f>G45+G43</f>
        <v>-35.62</v>
      </c>
      <c r="H46" s="157"/>
      <c r="I46" s="157"/>
      <c r="J46" s="158"/>
      <c r="K46" s="160">
        <f>K45+K43</f>
        <v>-12.899999999999999</v>
      </c>
      <c r="L46" s="157"/>
      <c r="M46" s="157"/>
      <c r="N46" s="158"/>
      <c r="O46" s="246">
        <f>O45+O43</f>
        <v>0</v>
      </c>
      <c r="P46" s="247"/>
      <c r="Q46" s="247"/>
      <c r="R46" s="248"/>
      <c r="S46" s="246">
        <f>S45+S43</f>
        <v>0</v>
      </c>
      <c r="T46" s="247"/>
      <c r="U46" s="247"/>
      <c r="V46" s="248"/>
      <c r="W46" s="153">
        <f t="shared" si="2"/>
        <v>-48.519999999999996</v>
      </c>
      <c r="X46" s="154"/>
      <c r="Y46" s="154"/>
      <c r="Z46" s="155"/>
    </row>
    <row r="47" spans="1:26" ht="12.75">
      <c r="A47" s="187"/>
      <c r="B47" s="194" t="s">
        <v>26</v>
      </c>
      <c r="C47" s="98"/>
      <c r="D47" s="98"/>
      <c r="E47" s="98"/>
      <c r="F47" s="195"/>
      <c r="G47" s="196">
        <f>$AG38/100*$AL$3</f>
        <v>-2.3519999999999994</v>
      </c>
      <c r="H47" s="197"/>
      <c r="I47" s="197"/>
      <c r="J47" s="198"/>
      <c r="K47" s="196">
        <f>$AG38/100*$AL$4</f>
        <v>-2.3519999999999994</v>
      </c>
      <c r="L47" s="197"/>
      <c r="M47" s="197"/>
      <c r="N47" s="198"/>
      <c r="O47" s="196">
        <v>0</v>
      </c>
      <c r="P47" s="197"/>
      <c r="Q47" s="197"/>
      <c r="R47" s="198"/>
      <c r="S47" s="196">
        <v>0</v>
      </c>
      <c r="T47" s="197"/>
      <c r="U47" s="197"/>
      <c r="V47" s="198"/>
      <c r="W47" s="153">
        <f t="shared" si="2"/>
        <v>-4.703999999999999</v>
      </c>
      <c r="X47" s="154"/>
      <c r="Y47" s="154"/>
      <c r="Z47" s="155"/>
    </row>
    <row r="48" spans="1:26" ht="12.75" customHeight="1" thickBot="1">
      <c r="A48" s="187"/>
      <c r="B48" s="191" t="s">
        <v>28</v>
      </c>
      <c r="C48" s="192"/>
      <c r="D48" s="192"/>
      <c r="E48" s="192"/>
      <c r="F48" s="193"/>
      <c r="G48" s="149">
        <f>IF(G47&lt;0,G40,G40+G47)</f>
        <v>30</v>
      </c>
      <c r="H48" s="147"/>
      <c r="I48" s="147"/>
      <c r="J48" s="148"/>
      <c r="K48" s="146">
        <f>IF(K47&lt;0,K40,K40+K47)</f>
        <v>20</v>
      </c>
      <c r="L48" s="147"/>
      <c r="M48" s="147"/>
      <c r="N48" s="148"/>
      <c r="O48" s="255">
        <f>IF(O47&lt;0,O40,O40+O47)</f>
        <v>0</v>
      </c>
      <c r="P48" s="256"/>
      <c r="Q48" s="256"/>
      <c r="R48" s="257"/>
      <c r="S48" s="255">
        <f>IF(S47&lt;0,S40,S40+S47)</f>
        <v>0</v>
      </c>
      <c r="T48" s="256"/>
      <c r="U48" s="256"/>
      <c r="V48" s="257"/>
      <c r="W48" s="150">
        <f t="shared" si="2"/>
        <v>50</v>
      </c>
      <c r="X48" s="151"/>
      <c r="Y48" s="151"/>
      <c r="Z48" s="152"/>
    </row>
    <row r="49" spans="1:35" ht="12.75">
      <c r="A49" s="188" t="s">
        <v>64</v>
      </c>
      <c r="B49" s="93" t="s">
        <v>23</v>
      </c>
      <c r="C49" s="94"/>
      <c r="D49" s="94"/>
      <c r="E49" s="94"/>
      <c r="F49" s="199"/>
      <c r="G49" s="185">
        <v>4280</v>
      </c>
      <c r="H49" s="183"/>
      <c r="I49" s="183"/>
      <c r="J49" s="184"/>
      <c r="K49" s="182">
        <v>4000</v>
      </c>
      <c r="L49" s="183"/>
      <c r="M49" s="183"/>
      <c r="N49" s="184"/>
      <c r="O49" s="242">
        <v>0</v>
      </c>
      <c r="P49" s="243"/>
      <c r="Q49" s="243"/>
      <c r="R49" s="244"/>
      <c r="S49" s="242">
        <v>0</v>
      </c>
      <c r="T49" s="243"/>
      <c r="U49" s="243"/>
      <c r="V49" s="244"/>
      <c r="W49" s="170">
        <f t="shared" si="2"/>
        <v>8280</v>
      </c>
      <c r="X49" s="171"/>
      <c r="Y49" s="171"/>
      <c r="Z49" s="172"/>
      <c r="AA49" s="236" t="s">
        <v>53</v>
      </c>
      <c r="AB49" s="94"/>
      <c r="AC49" s="94"/>
      <c r="AD49" s="94"/>
      <c r="AE49" s="94"/>
      <c r="AF49" s="94"/>
      <c r="AG49" s="269">
        <v>0.263</v>
      </c>
      <c r="AH49" s="270"/>
      <c r="AI49" s="271"/>
    </row>
    <row r="50" spans="1:35" ht="12.75">
      <c r="A50" s="187"/>
      <c r="B50" s="125" t="s">
        <v>24</v>
      </c>
      <c r="C50" s="126"/>
      <c r="D50" s="126"/>
      <c r="E50" s="126"/>
      <c r="F50" s="161"/>
      <c r="G50" s="239">
        <v>4280</v>
      </c>
      <c r="H50" s="240"/>
      <c r="I50" s="240"/>
      <c r="J50" s="241"/>
      <c r="K50" s="166">
        <v>4000</v>
      </c>
      <c r="L50" s="167"/>
      <c r="M50" s="167"/>
      <c r="N50" s="168"/>
      <c r="O50" s="239">
        <v>0</v>
      </c>
      <c r="P50" s="240"/>
      <c r="Q50" s="240"/>
      <c r="R50" s="241"/>
      <c r="S50" s="239">
        <v>0</v>
      </c>
      <c r="T50" s="240"/>
      <c r="U50" s="240"/>
      <c r="V50" s="241"/>
      <c r="W50" s="153">
        <f t="shared" si="2"/>
        <v>8280</v>
      </c>
      <c r="X50" s="154"/>
      <c r="Y50" s="154"/>
      <c r="Z50" s="155"/>
      <c r="AA50" s="205" t="s">
        <v>54</v>
      </c>
      <c r="AB50" s="126"/>
      <c r="AC50" s="126"/>
      <c r="AD50" s="126"/>
      <c r="AE50" s="126"/>
      <c r="AF50" s="126"/>
      <c r="AG50" s="278">
        <v>17.56</v>
      </c>
      <c r="AH50" s="278"/>
      <c r="AI50" s="279"/>
    </row>
    <row r="51" spans="1:35" ht="12.75">
      <c r="A51" s="187"/>
      <c r="B51" s="237" t="s">
        <v>130</v>
      </c>
      <c r="C51" s="204"/>
      <c r="D51" s="204"/>
      <c r="E51" s="204"/>
      <c r="F51" s="259"/>
      <c r="G51" s="249">
        <v>0</v>
      </c>
      <c r="H51" s="250"/>
      <c r="I51" s="250"/>
      <c r="J51" s="251"/>
      <c r="K51" s="252">
        <v>0</v>
      </c>
      <c r="L51" s="253"/>
      <c r="M51" s="253"/>
      <c r="N51" s="254"/>
      <c r="O51" s="252">
        <v>0</v>
      </c>
      <c r="P51" s="253"/>
      <c r="Q51" s="253"/>
      <c r="R51" s="254"/>
      <c r="S51" s="252">
        <v>0</v>
      </c>
      <c r="T51" s="253"/>
      <c r="U51" s="253"/>
      <c r="V51" s="254"/>
      <c r="W51" s="260">
        <f>(G51*G50+K51*K50+O51*O50+S51*S50)/W50</f>
        <v>0</v>
      </c>
      <c r="X51" s="261"/>
      <c r="Y51" s="261"/>
      <c r="Z51" s="262"/>
      <c r="AA51" s="205" t="s">
        <v>55</v>
      </c>
      <c r="AB51" s="126"/>
      <c r="AC51" s="126"/>
      <c r="AD51" s="126"/>
      <c r="AE51" s="126"/>
      <c r="AF51" s="126"/>
      <c r="AG51" s="134">
        <f>AG50</f>
        <v>17.56</v>
      </c>
      <c r="AH51" s="134"/>
      <c r="AI51" s="135"/>
    </row>
    <row r="52" spans="1:35" ht="12.75">
      <c r="A52" s="187"/>
      <c r="B52" s="125" t="s">
        <v>29</v>
      </c>
      <c r="C52" s="126"/>
      <c r="D52" s="126"/>
      <c r="E52" s="126"/>
      <c r="F52" s="161"/>
      <c r="G52" s="246">
        <f>IF(G51&lt;=10,(G51*0.005+0.35)*G50/100,((G51-10)*0.015+0.4)*G50/100)</f>
        <v>14.98</v>
      </c>
      <c r="H52" s="247"/>
      <c r="I52" s="247"/>
      <c r="J52" s="248"/>
      <c r="K52" s="246">
        <f>IF(K51&lt;=10,(K51*0.005+0.35)*K50/100,((K51-10)*0.015+0.4)*K50/100)</f>
        <v>14</v>
      </c>
      <c r="L52" s="247"/>
      <c r="M52" s="247"/>
      <c r="N52" s="248"/>
      <c r="O52" s="246">
        <f>IF(O51&lt;=10,(O51*0.005+0.35)*O50/100,((O51-10)*0.015+0.4)*O50/100)</f>
        <v>0</v>
      </c>
      <c r="P52" s="247"/>
      <c r="Q52" s="247"/>
      <c r="R52" s="248"/>
      <c r="S52" s="246">
        <f>IF(S51&lt;=10,(S51*0.005+0.35)*S50/100,((S51-10)*0.015+0.4)*S50/100)</f>
        <v>0</v>
      </c>
      <c r="T52" s="247"/>
      <c r="U52" s="247"/>
      <c r="V52" s="248"/>
      <c r="W52" s="153">
        <f aca="true" t="shared" si="3" ref="W52:W64">G52+K52+O52+S52</f>
        <v>28.98</v>
      </c>
      <c r="X52" s="154"/>
      <c r="Y52" s="154"/>
      <c r="Z52" s="155"/>
      <c r="AA52" s="205" t="s">
        <v>56</v>
      </c>
      <c r="AB52" s="126"/>
      <c r="AC52" s="126"/>
      <c r="AD52" s="126"/>
      <c r="AE52" s="126"/>
      <c r="AF52" s="126"/>
      <c r="AG52" s="134">
        <f>W60+AG51</f>
        <v>-16.560000000000006</v>
      </c>
      <c r="AH52" s="134"/>
      <c r="AI52" s="135"/>
    </row>
    <row r="53" spans="1:35" ht="13.5" thickBot="1">
      <c r="A53" s="187"/>
      <c r="B53" s="125" t="s">
        <v>10</v>
      </c>
      <c r="C53" s="126"/>
      <c r="D53" s="126"/>
      <c r="E53" s="126"/>
      <c r="F53" s="161"/>
      <c r="G53" s="169">
        <v>30</v>
      </c>
      <c r="H53" s="167"/>
      <c r="I53" s="167"/>
      <c r="J53" s="168"/>
      <c r="K53" s="166">
        <v>20</v>
      </c>
      <c r="L53" s="167"/>
      <c r="M53" s="167"/>
      <c r="N53" s="168"/>
      <c r="O53" s="239">
        <v>0</v>
      </c>
      <c r="P53" s="240"/>
      <c r="Q53" s="240"/>
      <c r="R53" s="241"/>
      <c r="S53" s="239">
        <v>0</v>
      </c>
      <c r="T53" s="240"/>
      <c r="U53" s="240"/>
      <c r="V53" s="241"/>
      <c r="W53" s="153">
        <f t="shared" si="3"/>
        <v>50</v>
      </c>
      <c r="X53" s="154"/>
      <c r="Y53" s="154"/>
      <c r="Z53" s="155"/>
      <c r="AA53" s="232" t="s">
        <v>57</v>
      </c>
      <c r="AB53" s="90"/>
      <c r="AC53" s="90"/>
      <c r="AD53" s="90"/>
      <c r="AE53" s="90"/>
      <c r="AF53" s="90"/>
      <c r="AG53" s="91">
        <f>-AG51+AG52-W61</f>
        <v>-27.496000000000002</v>
      </c>
      <c r="AH53" s="91"/>
      <c r="AI53" s="85"/>
    </row>
    <row r="54" spans="1:35" ht="13.5" thickBot="1">
      <c r="A54" s="187"/>
      <c r="B54" s="125" t="s">
        <v>58</v>
      </c>
      <c r="C54" s="126"/>
      <c r="D54" s="126"/>
      <c r="E54" s="126"/>
      <c r="F54" s="161"/>
      <c r="G54" s="156">
        <f>IF(G52&lt;G53,G53,G52)</f>
        <v>30</v>
      </c>
      <c r="H54" s="157"/>
      <c r="I54" s="157"/>
      <c r="J54" s="158"/>
      <c r="K54" s="160">
        <f>IF(K52&lt;K53,K53,K52)</f>
        <v>20</v>
      </c>
      <c r="L54" s="157"/>
      <c r="M54" s="157"/>
      <c r="N54" s="158"/>
      <c r="O54" s="246">
        <f>IF(O52&lt;O53,O53,O52)</f>
        <v>0</v>
      </c>
      <c r="P54" s="247"/>
      <c r="Q54" s="247"/>
      <c r="R54" s="248"/>
      <c r="S54" s="246">
        <f>IF(S52&lt;S53,S53,S52)</f>
        <v>0</v>
      </c>
      <c r="T54" s="247"/>
      <c r="U54" s="247"/>
      <c r="V54" s="248"/>
      <c r="W54" s="153">
        <f t="shared" si="3"/>
        <v>50</v>
      </c>
      <c r="X54" s="154"/>
      <c r="Y54" s="154"/>
      <c r="Z54" s="155"/>
      <c r="AA54" s="230" t="s">
        <v>59</v>
      </c>
      <c r="AB54" s="231"/>
      <c r="AC54" s="231"/>
      <c r="AD54" s="231"/>
      <c r="AE54" s="231"/>
      <c r="AF54" s="231"/>
      <c r="AG54" s="266">
        <f>AG50+AG53</f>
        <v>-9.936000000000003</v>
      </c>
      <c r="AH54" s="267"/>
      <c r="AI54" s="268"/>
    </row>
    <row r="55" spans="1:35" ht="12.75">
      <c r="A55" s="187"/>
      <c r="B55" s="125" t="s">
        <v>41</v>
      </c>
      <c r="C55" s="126"/>
      <c r="D55" s="126"/>
      <c r="E55" s="126"/>
      <c r="F55" s="161"/>
      <c r="G55" s="156">
        <v>16.9</v>
      </c>
      <c r="H55" s="157"/>
      <c r="I55" s="157"/>
      <c r="J55" s="158"/>
      <c r="K55" s="156">
        <v>16.9</v>
      </c>
      <c r="L55" s="157"/>
      <c r="M55" s="157"/>
      <c r="N55" s="158"/>
      <c r="O55" s="246">
        <v>0</v>
      </c>
      <c r="P55" s="247"/>
      <c r="Q55" s="247"/>
      <c r="R55" s="248"/>
      <c r="S55" s="246">
        <v>0</v>
      </c>
      <c r="T55" s="247"/>
      <c r="U55" s="247"/>
      <c r="V55" s="248"/>
      <c r="W55" s="153">
        <f t="shared" si="3"/>
        <v>33.8</v>
      </c>
      <c r="X55" s="154"/>
      <c r="Y55" s="154"/>
      <c r="Z55" s="155"/>
      <c r="AA55" s="136">
        <f>(W55+W54)/W50*100-$L$2</f>
        <v>0.4120772946859904</v>
      </c>
      <c r="AB55" s="136"/>
      <c r="AC55" s="136"/>
      <c r="AD55" s="136"/>
      <c r="AE55" s="136"/>
      <c r="AF55" s="136"/>
      <c r="AG55" s="136"/>
      <c r="AH55" s="136"/>
      <c r="AI55" s="136"/>
    </row>
    <row r="56" spans="1:35" ht="12.75">
      <c r="A56" s="187"/>
      <c r="B56" s="125" t="s">
        <v>42</v>
      </c>
      <c r="C56" s="126"/>
      <c r="D56" s="126"/>
      <c r="E56" s="126"/>
      <c r="F56" s="161"/>
      <c r="G56" s="169">
        <v>16.9</v>
      </c>
      <c r="H56" s="167"/>
      <c r="I56" s="167"/>
      <c r="J56" s="168"/>
      <c r="K56" s="169">
        <v>16.9</v>
      </c>
      <c r="L56" s="167"/>
      <c r="M56" s="167"/>
      <c r="N56" s="168"/>
      <c r="O56" s="239">
        <v>0</v>
      </c>
      <c r="P56" s="240"/>
      <c r="Q56" s="240"/>
      <c r="R56" s="241"/>
      <c r="S56" s="239">
        <v>0</v>
      </c>
      <c r="T56" s="240"/>
      <c r="U56" s="240"/>
      <c r="V56" s="241"/>
      <c r="W56" s="153">
        <f t="shared" si="3"/>
        <v>33.8</v>
      </c>
      <c r="X56" s="154"/>
      <c r="Y56" s="154"/>
      <c r="Z56" s="155"/>
      <c r="AA56" s="132">
        <f>AG49*W49/100</f>
        <v>21.7764</v>
      </c>
      <c r="AB56" s="233"/>
      <c r="AC56" s="233"/>
      <c r="AD56" s="233"/>
      <c r="AE56" s="233"/>
      <c r="AF56" s="233"/>
      <c r="AG56" s="233"/>
      <c r="AH56" s="233"/>
      <c r="AI56" s="233"/>
    </row>
    <row r="57" spans="1:30" ht="12.75">
      <c r="A57" s="187"/>
      <c r="B57" s="125" t="s">
        <v>43</v>
      </c>
      <c r="C57" s="126"/>
      <c r="D57" s="126"/>
      <c r="E57" s="126"/>
      <c r="F57" s="161"/>
      <c r="G57" s="165">
        <f>G55-G56</f>
        <v>0</v>
      </c>
      <c r="H57" s="163"/>
      <c r="I57" s="163"/>
      <c r="J57" s="164"/>
      <c r="K57" s="162">
        <f>K55-K56</f>
        <v>0</v>
      </c>
      <c r="L57" s="163"/>
      <c r="M57" s="163"/>
      <c r="N57" s="164"/>
      <c r="O57" s="275">
        <f>O55-O56</f>
        <v>0</v>
      </c>
      <c r="P57" s="276"/>
      <c r="Q57" s="276"/>
      <c r="R57" s="277"/>
      <c r="S57" s="275">
        <v>0</v>
      </c>
      <c r="T57" s="276"/>
      <c r="U57" s="276"/>
      <c r="V57" s="277"/>
      <c r="W57" s="153">
        <f t="shared" si="3"/>
        <v>0</v>
      </c>
      <c r="X57" s="154"/>
      <c r="Y57" s="154"/>
      <c r="Z57" s="155"/>
      <c r="AA57" s="280">
        <f>IF(G51&lt;10,($L$2+0.005*G51),($L$2+0.05+(G51-10)*0.015))</f>
        <v>0.6</v>
      </c>
      <c r="AB57" s="281"/>
      <c r="AC57" s="280">
        <f>IF(K51&lt;10,($L$2+0.005*K51),($L$2+0.05+(K51-10)*0.015))</f>
        <v>0.6</v>
      </c>
      <c r="AD57" s="281"/>
    </row>
    <row r="58" spans="1:26" ht="12.75">
      <c r="A58" s="187"/>
      <c r="B58" s="125" t="s">
        <v>30</v>
      </c>
      <c r="C58" s="126"/>
      <c r="D58" s="126"/>
      <c r="E58" s="126"/>
      <c r="F58" s="161"/>
      <c r="G58" s="156">
        <f>G50/100*AA57</f>
        <v>25.679999999999996</v>
      </c>
      <c r="H58" s="157"/>
      <c r="I58" s="157"/>
      <c r="J58" s="158"/>
      <c r="K58" s="160">
        <f>K50/100*AC57</f>
        <v>24</v>
      </c>
      <c r="L58" s="157"/>
      <c r="M58" s="157"/>
      <c r="N58" s="158"/>
      <c r="O58" s="246">
        <f>O50/100*$L$2</f>
        <v>0</v>
      </c>
      <c r="P58" s="247"/>
      <c r="Q58" s="247"/>
      <c r="R58" s="248"/>
      <c r="S58" s="246">
        <f>S50/100*$L$2</f>
        <v>0</v>
      </c>
      <c r="T58" s="247"/>
      <c r="U58" s="247"/>
      <c r="V58" s="248"/>
      <c r="W58" s="153">
        <f t="shared" si="3"/>
        <v>49.67999999999999</v>
      </c>
      <c r="X58" s="154"/>
      <c r="Y58" s="154"/>
      <c r="Z58" s="155"/>
    </row>
    <row r="59" spans="1:26" ht="12.75" customHeight="1">
      <c r="A59" s="187"/>
      <c r="B59" s="125" t="s">
        <v>44</v>
      </c>
      <c r="C59" s="126"/>
      <c r="D59" s="126"/>
      <c r="E59" s="126"/>
      <c r="F59" s="161"/>
      <c r="G59" s="156">
        <f>G58-G55-G54</f>
        <v>-21.220000000000002</v>
      </c>
      <c r="H59" s="157"/>
      <c r="I59" s="157"/>
      <c r="J59" s="158"/>
      <c r="K59" s="160">
        <f>K58-K55-K54</f>
        <v>-12.899999999999999</v>
      </c>
      <c r="L59" s="157"/>
      <c r="M59" s="157"/>
      <c r="N59" s="158"/>
      <c r="O59" s="246">
        <f>O58-O55-O54</f>
        <v>0</v>
      </c>
      <c r="P59" s="247"/>
      <c r="Q59" s="247"/>
      <c r="R59" s="248"/>
      <c r="S59" s="246">
        <f>S58-S55-S54</f>
        <v>0</v>
      </c>
      <c r="T59" s="247"/>
      <c r="U59" s="247"/>
      <c r="V59" s="248"/>
      <c r="W59" s="153">
        <f t="shared" si="3"/>
        <v>-34.120000000000005</v>
      </c>
      <c r="X59" s="154"/>
      <c r="Y59" s="154"/>
      <c r="Z59" s="155"/>
    </row>
    <row r="60" spans="1:26" ht="12.75">
      <c r="A60" s="187"/>
      <c r="B60" s="125" t="s">
        <v>45</v>
      </c>
      <c r="C60" s="126"/>
      <c r="D60" s="126"/>
      <c r="E60" s="126"/>
      <c r="F60" s="161"/>
      <c r="G60" s="156">
        <f>G59+G57</f>
        <v>-21.220000000000002</v>
      </c>
      <c r="H60" s="157"/>
      <c r="I60" s="157"/>
      <c r="J60" s="158"/>
      <c r="K60" s="160">
        <f>K59+K57</f>
        <v>-12.899999999999999</v>
      </c>
      <c r="L60" s="157"/>
      <c r="M60" s="157"/>
      <c r="N60" s="158"/>
      <c r="O60" s="246">
        <f>O59+O57</f>
        <v>0</v>
      </c>
      <c r="P60" s="247"/>
      <c r="Q60" s="247"/>
      <c r="R60" s="248"/>
      <c r="S60" s="246">
        <f>S59+S57</f>
        <v>0</v>
      </c>
      <c r="T60" s="247"/>
      <c r="U60" s="247"/>
      <c r="V60" s="248"/>
      <c r="W60" s="153">
        <f t="shared" si="3"/>
        <v>-34.120000000000005</v>
      </c>
      <c r="X60" s="154"/>
      <c r="Y60" s="154"/>
      <c r="Z60" s="155"/>
    </row>
    <row r="61" spans="1:26" ht="12.75">
      <c r="A61" s="187"/>
      <c r="B61" s="194" t="s">
        <v>26</v>
      </c>
      <c r="C61" s="98"/>
      <c r="D61" s="98"/>
      <c r="E61" s="98"/>
      <c r="F61" s="195"/>
      <c r="G61" s="196">
        <f>$AG52/100*$AL$3</f>
        <v>-3.312000000000001</v>
      </c>
      <c r="H61" s="197"/>
      <c r="I61" s="197"/>
      <c r="J61" s="198"/>
      <c r="K61" s="196">
        <f>$AG52/100*$AL$4</f>
        <v>-3.312000000000001</v>
      </c>
      <c r="L61" s="197"/>
      <c r="M61" s="197"/>
      <c r="N61" s="198"/>
      <c r="O61" s="196">
        <v>0</v>
      </c>
      <c r="P61" s="197"/>
      <c r="Q61" s="197"/>
      <c r="R61" s="198"/>
      <c r="S61" s="196">
        <v>0</v>
      </c>
      <c r="T61" s="197"/>
      <c r="U61" s="197"/>
      <c r="V61" s="198"/>
      <c r="W61" s="153">
        <f t="shared" si="3"/>
        <v>-6.624000000000002</v>
      </c>
      <c r="X61" s="154"/>
      <c r="Y61" s="154"/>
      <c r="Z61" s="155"/>
    </row>
    <row r="62" spans="1:26" ht="12.75" customHeight="1" thickBot="1">
      <c r="A62" s="187"/>
      <c r="B62" s="191" t="s">
        <v>28</v>
      </c>
      <c r="C62" s="192"/>
      <c r="D62" s="192"/>
      <c r="E62" s="192"/>
      <c r="F62" s="193"/>
      <c r="G62" s="149">
        <f>IF(G61&lt;0,G54,G54+G61)</f>
        <v>30</v>
      </c>
      <c r="H62" s="147"/>
      <c r="I62" s="147"/>
      <c r="J62" s="148"/>
      <c r="K62" s="146">
        <f>IF(K61&lt;0,K54,K54+K61)</f>
        <v>20</v>
      </c>
      <c r="L62" s="147"/>
      <c r="M62" s="147"/>
      <c r="N62" s="148"/>
      <c r="O62" s="255">
        <f>IF(O61&lt;0,O54,O54+O61)</f>
        <v>0</v>
      </c>
      <c r="P62" s="256"/>
      <c r="Q62" s="256"/>
      <c r="R62" s="257"/>
      <c r="S62" s="255">
        <f>IF(S61&lt;0,S54,S54+S61)</f>
        <v>0</v>
      </c>
      <c r="T62" s="256"/>
      <c r="U62" s="256"/>
      <c r="V62" s="257"/>
      <c r="W62" s="150">
        <f t="shared" si="3"/>
        <v>50</v>
      </c>
      <c r="X62" s="151"/>
      <c r="Y62" s="151"/>
      <c r="Z62" s="152"/>
    </row>
    <row r="63" spans="1:35" ht="12.75">
      <c r="A63" s="188" t="s">
        <v>65</v>
      </c>
      <c r="B63" s="93" t="s">
        <v>23</v>
      </c>
      <c r="C63" s="94"/>
      <c r="D63" s="94"/>
      <c r="E63" s="94"/>
      <c r="F63" s="199"/>
      <c r="G63" s="185">
        <v>6940</v>
      </c>
      <c r="H63" s="183"/>
      <c r="I63" s="183"/>
      <c r="J63" s="184"/>
      <c r="K63" s="182">
        <v>4000</v>
      </c>
      <c r="L63" s="183"/>
      <c r="M63" s="183"/>
      <c r="N63" s="184"/>
      <c r="O63" s="242">
        <v>0</v>
      </c>
      <c r="P63" s="243"/>
      <c r="Q63" s="243"/>
      <c r="R63" s="244"/>
      <c r="S63" s="242">
        <v>0</v>
      </c>
      <c r="T63" s="243"/>
      <c r="U63" s="243"/>
      <c r="V63" s="244"/>
      <c r="W63" s="170">
        <f t="shared" si="3"/>
        <v>10940</v>
      </c>
      <c r="X63" s="171"/>
      <c r="Y63" s="171"/>
      <c r="Z63" s="172"/>
      <c r="AA63" s="236" t="s">
        <v>53</v>
      </c>
      <c r="AB63" s="94"/>
      <c r="AC63" s="94"/>
      <c r="AD63" s="94"/>
      <c r="AE63" s="94"/>
      <c r="AF63" s="94"/>
      <c r="AG63" s="269">
        <v>0</v>
      </c>
      <c r="AH63" s="270"/>
      <c r="AI63" s="271"/>
    </row>
    <row r="64" spans="1:35" ht="12.75">
      <c r="A64" s="187"/>
      <c r="B64" s="125" t="s">
        <v>24</v>
      </c>
      <c r="C64" s="126"/>
      <c r="D64" s="126"/>
      <c r="E64" s="126"/>
      <c r="F64" s="161"/>
      <c r="G64" s="239">
        <v>6940</v>
      </c>
      <c r="H64" s="240"/>
      <c r="I64" s="240"/>
      <c r="J64" s="241"/>
      <c r="K64" s="166">
        <v>4000</v>
      </c>
      <c r="L64" s="167"/>
      <c r="M64" s="167"/>
      <c r="N64" s="168"/>
      <c r="O64" s="239">
        <v>0</v>
      </c>
      <c r="P64" s="240"/>
      <c r="Q64" s="240"/>
      <c r="R64" s="241"/>
      <c r="S64" s="239">
        <v>0</v>
      </c>
      <c r="T64" s="240"/>
      <c r="U64" s="240"/>
      <c r="V64" s="241"/>
      <c r="W64" s="153">
        <f t="shared" si="3"/>
        <v>10940</v>
      </c>
      <c r="X64" s="154"/>
      <c r="Y64" s="154"/>
      <c r="Z64" s="155"/>
      <c r="AA64" s="205" t="s">
        <v>54</v>
      </c>
      <c r="AB64" s="126"/>
      <c r="AC64" s="126"/>
      <c r="AD64" s="126"/>
      <c r="AE64" s="126"/>
      <c r="AF64" s="126"/>
      <c r="AG64" s="278">
        <v>0</v>
      </c>
      <c r="AH64" s="278"/>
      <c r="AI64" s="279"/>
    </row>
    <row r="65" spans="1:35" ht="12.75">
      <c r="A65" s="187"/>
      <c r="B65" s="237" t="s">
        <v>130</v>
      </c>
      <c r="C65" s="204"/>
      <c r="D65" s="204"/>
      <c r="E65" s="204"/>
      <c r="F65" s="259"/>
      <c r="G65" s="249">
        <v>0</v>
      </c>
      <c r="H65" s="250"/>
      <c r="I65" s="250"/>
      <c r="J65" s="251"/>
      <c r="K65" s="252">
        <v>0</v>
      </c>
      <c r="L65" s="253"/>
      <c r="M65" s="253"/>
      <c r="N65" s="254"/>
      <c r="O65" s="252">
        <v>0</v>
      </c>
      <c r="P65" s="253"/>
      <c r="Q65" s="253"/>
      <c r="R65" s="254"/>
      <c r="S65" s="252">
        <v>0</v>
      </c>
      <c r="T65" s="253"/>
      <c r="U65" s="253"/>
      <c r="V65" s="254"/>
      <c r="W65" s="260">
        <f>(G65*G64+K65*K64+O65*O64+S65*S64)/W64</f>
        <v>0</v>
      </c>
      <c r="X65" s="261"/>
      <c r="Y65" s="261"/>
      <c r="Z65" s="262"/>
      <c r="AA65" s="205" t="s">
        <v>55</v>
      </c>
      <c r="AB65" s="126"/>
      <c r="AC65" s="126"/>
      <c r="AD65" s="126"/>
      <c r="AE65" s="126"/>
      <c r="AF65" s="126"/>
      <c r="AG65" s="134">
        <f>AG64</f>
        <v>0</v>
      </c>
      <c r="AH65" s="134"/>
      <c r="AI65" s="135"/>
    </row>
    <row r="66" spans="1:35" ht="12.75">
      <c r="A66" s="187"/>
      <c r="B66" s="125" t="s">
        <v>29</v>
      </c>
      <c r="C66" s="126"/>
      <c r="D66" s="126"/>
      <c r="E66" s="126"/>
      <c r="F66" s="161"/>
      <c r="G66" s="246">
        <f>IF(G65&lt;=10,(G65*0.005+0.35)*G64/100,((G65-10)*0.015+0.4)*G64/100)</f>
        <v>24.29</v>
      </c>
      <c r="H66" s="247"/>
      <c r="I66" s="247"/>
      <c r="J66" s="248"/>
      <c r="K66" s="246">
        <f>IF(K65&lt;=10,(K65*0.005+0.35)*K64/100,((K65-10)*0.015+0.4)*K64/100)</f>
        <v>14</v>
      </c>
      <c r="L66" s="247"/>
      <c r="M66" s="247"/>
      <c r="N66" s="248"/>
      <c r="O66" s="246">
        <f>IF(O65&lt;=10,(O65*0.005+0.35)*O64/100,((O65-10)*0.015+0.4)*O64/100)</f>
        <v>0</v>
      </c>
      <c r="P66" s="247"/>
      <c r="Q66" s="247"/>
      <c r="R66" s="248"/>
      <c r="S66" s="246">
        <f>IF(S65&lt;=10,(S65*0.005+0.35)*S64/100,((S65-10)*0.015+0.4)*S64/100)</f>
        <v>0</v>
      </c>
      <c r="T66" s="247"/>
      <c r="U66" s="247"/>
      <c r="V66" s="248"/>
      <c r="W66" s="153">
        <f aca="true" t="shared" si="4" ref="W66:W78">G66+K66+O66+S66</f>
        <v>38.29</v>
      </c>
      <c r="X66" s="154"/>
      <c r="Y66" s="154"/>
      <c r="Z66" s="155"/>
      <c r="AA66" s="205" t="s">
        <v>56</v>
      </c>
      <c r="AB66" s="126"/>
      <c r="AC66" s="126"/>
      <c r="AD66" s="126"/>
      <c r="AE66" s="126"/>
      <c r="AF66" s="126"/>
      <c r="AG66" s="134">
        <f>W74+AG65</f>
        <v>-18.159999999999997</v>
      </c>
      <c r="AH66" s="134"/>
      <c r="AI66" s="135"/>
    </row>
    <row r="67" spans="1:35" ht="13.5" thickBot="1">
      <c r="A67" s="187"/>
      <c r="B67" s="125" t="s">
        <v>10</v>
      </c>
      <c r="C67" s="126"/>
      <c r="D67" s="126"/>
      <c r="E67" s="126"/>
      <c r="F67" s="161"/>
      <c r="G67" s="169">
        <v>30</v>
      </c>
      <c r="H67" s="167"/>
      <c r="I67" s="167"/>
      <c r="J67" s="168"/>
      <c r="K67" s="166">
        <v>20</v>
      </c>
      <c r="L67" s="167"/>
      <c r="M67" s="167"/>
      <c r="N67" s="168"/>
      <c r="O67" s="239">
        <v>0</v>
      </c>
      <c r="P67" s="240"/>
      <c r="Q67" s="240"/>
      <c r="R67" s="241"/>
      <c r="S67" s="239">
        <v>0</v>
      </c>
      <c r="T67" s="240"/>
      <c r="U67" s="240"/>
      <c r="V67" s="241"/>
      <c r="W67" s="153">
        <f t="shared" si="4"/>
        <v>50</v>
      </c>
      <c r="X67" s="154"/>
      <c r="Y67" s="154"/>
      <c r="Z67" s="155"/>
      <c r="AA67" s="232" t="s">
        <v>57</v>
      </c>
      <c r="AB67" s="90"/>
      <c r="AC67" s="90"/>
      <c r="AD67" s="90"/>
      <c r="AE67" s="90"/>
      <c r="AF67" s="90"/>
      <c r="AG67" s="91">
        <f>-AG65+AG66-W75</f>
        <v>-10.895999999999997</v>
      </c>
      <c r="AH67" s="91"/>
      <c r="AI67" s="85"/>
    </row>
    <row r="68" spans="1:35" ht="13.5" thickBot="1">
      <c r="A68" s="187"/>
      <c r="B68" s="125" t="s">
        <v>58</v>
      </c>
      <c r="C68" s="126"/>
      <c r="D68" s="126"/>
      <c r="E68" s="126"/>
      <c r="F68" s="161"/>
      <c r="G68" s="156">
        <f>IF(G66&lt;G67,G67,G66)</f>
        <v>30</v>
      </c>
      <c r="H68" s="157"/>
      <c r="I68" s="157"/>
      <c r="J68" s="158"/>
      <c r="K68" s="160">
        <f>IF(K66&lt;K67,K67,K66)</f>
        <v>20</v>
      </c>
      <c r="L68" s="157"/>
      <c r="M68" s="157"/>
      <c r="N68" s="158"/>
      <c r="O68" s="246">
        <f>IF(O66&lt;O67,O67,O66)</f>
        <v>0</v>
      </c>
      <c r="P68" s="247"/>
      <c r="Q68" s="247"/>
      <c r="R68" s="248"/>
      <c r="S68" s="246">
        <f>IF(S66&lt;S67,S67,S66)</f>
        <v>0</v>
      </c>
      <c r="T68" s="247"/>
      <c r="U68" s="247"/>
      <c r="V68" s="248"/>
      <c r="W68" s="153">
        <f t="shared" si="4"/>
        <v>50</v>
      </c>
      <c r="X68" s="154"/>
      <c r="Y68" s="154"/>
      <c r="Z68" s="155"/>
      <c r="AA68" s="230" t="s">
        <v>59</v>
      </c>
      <c r="AB68" s="231"/>
      <c r="AC68" s="231"/>
      <c r="AD68" s="231"/>
      <c r="AE68" s="231"/>
      <c r="AF68" s="231"/>
      <c r="AG68" s="266">
        <f>AG64+AG67</f>
        <v>-10.895999999999997</v>
      </c>
      <c r="AH68" s="267"/>
      <c r="AI68" s="268"/>
    </row>
    <row r="69" spans="1:35" ht="12.75">
      <c r="A69" s="187"/>
      <c r="B69" s="125" t="s">
        <v>41</v>
      </c>
      <c r="C69" s="126"/>
      <c r="D69" s="126"/>
      <c r="E69" s="126"/>
      <c r="F69" s="161"/>
      <c r="G69" s="156">
        <v>16.9</v>
      </c>
      <c r="H69" s="157"/>
      <c r="I69" s="157"/>
      <c r="J69" s="158"/>
      <c r="K69" s="156">
        <v>16.9</v>
      </c>
      <c r="L69" s="157"/>
      <c r="M69" s="157"/>
      <c r="N69" s="158"/>
      <c r="O69" s="246">
        <v>0</v>
      </c>
      <c r="P69" s="247"/>
      <c r="Q69" s="247"/>
      <c r="R69" s="248"/>
      <c r="S69" s="246">
        <v>0</v>
      </c>
      <c r="T69" s="247"/>
      <c r="U69" s="247"/>
      <c r="V69" s="248"/>
      <c r="W69" s="153">
        <f t="shared" si="4"/>
        <v>33.8</v>
      </c>
      <c r="X69" s="154"/>
      <c r="Y69" s="154"/>
      <c r="Z69" s="155"/>
      <c r="AA69" s="136">
        <f>(W69+W68)/W64*100-$L$2</f>
        <v>0.1659963436928702</v>
      </c>
      <c r="AB69" s="136"/>
      <c r="AC69" s="136"/>
      <c r="AD69" s="136"/>
      <c r="AE69" s="136"/>
      <c r="AF69" s="136"/>
      <c r="AG69" s="136"/>
      <c r="AH69" s="136"/>
      <c r="AI69" s="136"/>
    </row>
    <row r="70" spans="1:35" ht="12.75">
      <c r="A70" s="187"/>
      <c r="B70" s="125" t="s">
        <v>42</v>
      </c>
      <c r="C70" s="126"/>
      <c r="D70" s="126"/>
      <c r="E70" s="126"/>
      <c r="F70" s="161"/>
      <c r="G70" s="169">
        <v>16.9</v>
      </c>
      <c r="H70" s="167"/>
      <c r="I70" s="167"/>
      <c r="J70" s="168"/>
      <c r="K70" s="169">
        <v>16.9</v>
      </c>
      <c r="L70" s="167"/>
      <c r="M70" s="167"/>
      <c r="N70" s="168"/>
      <c r="O70" s="239">
        <v>0</v>
      </c>
      <c r="P70" s="240"/>
      <c r="Q70" s="240"/>
      <c r="R70" s="241"/>
      <c r="S70" s="239">
        <v>0</v>
      </c>
      <c r="T70" s="240"/>
      <c r="U70" s="240"/>
      <c r="V70" s="241"/>
      <c r="W70" s="153">
        <f t="shared" si="4"/>
        <v>33.8</v>
      </c>
      <c r="X70" s="154"/>
      <c r="Y70" s="154"/>
      <c r="Z70" s="155"/>
      <c r="AA70" s="132">
        <f>AG63*W63/100</f>
        <v>0</v>
      </c>
      <c r="AB70" s="233"/>
      <c r="AC70" s="233"/>
      <c r="AD70" s="233"/>
      <c r="AE70" s="233"/>
      <c r="AF70" s="233"/>
      <c r="AG70" s="233"/>
      <c r="AH70" s="233"/>
      <c r="AI70" s="233"/>
    </row>
    <row r="71" spans="1:30" ht="12.75">
      <c r="A71" s="187"/>
      <c r="B71" s="125" t="s">
        <v>43</v>
      </c>
      <c r="C71" s="126"/>
      <c r="D71" s="126"/>
      <c r="E71" s="126"/>
      <c r="F71" s="161"/>
      <c r="G71" s="165">
        <f>G69-G70</f>
        <v>0</v>
      </c>
      <c r="H71" s="163"/>
      <c r="I71" s="163"/>
      <c r="J71" s="164"/>
      <c r="K71" s="162">
        <f>K69-K70</f>
        <v>0</v>
      </c>
      <c r="L71" s="163"/>
      <c r="M71" s="163"/>
      <c r="N71" s="164"/>
      <c r="O71" s="275">
        <f>O69-O70</f>
        <v>0</v>
      </c>
      <c r="P71" s="276"/>
      <c r="Q71" s="276"/>
      <c r="R71" s="277"/>
      <c r="S71" s="275">
        <v>0</v>
      </c>
      <c r="T71" s="276"/>
      <c r="U71" s="276"/>
      <c r="V71" s="277"/>
      <c r="W71" s="153">
        <f t="shared" si="4"/>
        <v>0</v>
      </c>
      <c r="X71" s="154"/>
      <c r="Y71" s="154"/>
      <c r="Z71" s="155"/>
      <c r="AA71" s="280">
        <f>IF(G65&lt;10,($L$2+0.005*G65),($L$2+0.05+(G65-10)*0.015))</f>
        <v>0.6</v>
      </c>
      <c r="AB71" s="281"/>
      <c r="AC71" s="280">
        <f>IF(K65&lt;10,($L$2+0.005*K65),($L$2+0.05+(K65-10)*0.015))</f>
        <v>0.6</v>
      </c>
      <c r="AD71" s="281"/>
    </row>
    <row r="72" spans="1:26" ht="12.75">
      <c r="A72" s="187"/>
      <c r="B72" s="125" t="s">
        <v>30</v>
      </c>
      <c r="C72" s="126"/>
      <c r="D72" s="126"/>
      <c r="E72" s="126"/>
      <c r="F72" s="161"/>
      <c r="G72" s="156">
        <f>G64/100*AA71</f>
        <v>41.64</v>
      </c>
      <c r="H72" s="157"/>
      <c r="I72" s="157"/>
      <c r="J72" s="158"/>
      <c r="K72" s="160">
        <f>K64/100*AC71</f>
        <v>24</v>
      </c>
      <c r="L72" s="157"/>
      <c r="M72" s="157"/>
      <c r="N72" s="158"/>
      <c r="O72" s="246">
        <f>O64/100*$L$2</f>
        <v>0</v>
      </c>
      <c r="P72" s="247"/>
      <c r="Q72" s="247"/>
      <c r="R72" s="248"/>
      <c r="S72" s="246">
        <f>S64/100*$L$2</f>
        <v>0</v>
      </c>
      <c r="T72" s="247"/>
      <c r="U72" s="247"/>
      <c r="V72" s="248"/>
      <c r="W72" s="153">
        <f t="shared" si="4"/>
        <v>65.64</v>
      </c>
      <c r="X72" s="154"/>
      <c r="Y72" s="154"/>
      <c r="Z72" s="155"/>
    </row>
    <row r="73" spans="1:26" ht="12.75">
      <c r="A73" s="187"/>
      <c r="B73" s="125" t="s">
        <v>44</v>
      </c>
      <c r="C73" s="126"/>
      <c r="D73" s="126"/>
      <c r="E73" s="126"/>
      <c r="F73" s="161"/>
      <c r="G73" s="156">
        <f>G72-G69-G68</f>
        <v>-5.259999999999998</v>
      </c>
      <c r="H73" s="157"/>
      <c r="I73" s="157"/>
      <c r="J73" s="158"/>
      <c r="K73" s="160">
        <f>K72-K69-K68</f>
        <v>-12.899999999999999</v>
      </c>
      <c r="L73" s="157"/>
      <c r="M73" s="157"/>
      <c r="N73" s="158"/>
      <c r="O73" s="246">
        <f>O72-O69-O68</f>
        <v>0</v>
      </c>
      <c r="P73" s="247"/>
      <c r="Q73" s="247"/>
      <c r="R73" s="248"/>
      <c r="S73" s="246">
        <f>S72-S69-S68</f>
        <v>0</v>
      </c>
      <c r="T73" s="247"/>
      <c r="U73" s="247"/>
      <c r="V73" s="248"/>
      <c r="W73" s="153">
        <f t="shared" si="4"/>
        <v>-18.159999999999997</v>
      </c>
      <c r="X73" s="154"/>
      <c r="Y73" s="154"/>
      <c r="Z73" s="155"/>
    </row>
    <row r="74" spans="1:26" ht="12.75">
      <c r="A74" s="187"/>
      <c r="B74" s="125" t="s">
        <v>45</v>
      </c>
      <c r="C74" s="126"/>
      <c r="D74" s="126"/>
      <c r="E74" s="126"/>
      <c r="F74" s="161"/>
      <c r="G74" s="156">
        <f>G73+G71</f>
        <v>-5.259999999999998</v>
      </c>
      <c r="H74" s="157"/>
      <c r="I74" s="157"/>
      <c r="J74" s="158"/>
      <c r="K74" s="160">
        <f>K73+K71</f>
        <v>-12.899999999999999</v>
      </c>
      <c r="L74" s="157"/>
      <c r="M74" s="157"/>
      <c r="N74" s="158"/>
      <c r="O74" s="246">
        <f>O73+O71</f>
        <v>0</v>
      </c>
      <c r="P74" s="247"/>
      <c r="Q74" s="247"/>
      <c r="R74" s="248"/>
      <c r="S74" s="246">
        <f>S73+S71</f>
        <v>0</v>
      </c>
      <c r="T74" s="247"/>
      <c r="U74" s="247"/>
      <c r="V74" s="248"/>
      <c r="W74" s="153">
        <f t="shared" si="4"/>
        <v>-18.159999999999997</v>
      </c>
      <c r="X74" s="154"/>
      <c r="Y74" s="154"/>
      <c r="Z74" s="155"/>
    </row>
    <row r="75" spans="1:26" ht="12.75">
      <c r="A75" s="187"/>
      <c r="B75" s="194" t="s">
        <v>26</v>
      </c>
      <c r="C75" s="98"/>
      <c r="D75" s="98"/>
      <c r="E75" s="98"/>
      <c r="F75" s="195"/>
      <c r="G75" s="196">
        <f>$AG66/100*$AL$3</f>
        <v>-3.6319999999999992</v>
      </c>
      <c r="H75" s="197"/>
      <c r="I75" s="197"/>
      <c r="J75" s="198"/>
      <c r="K75" s="196">
        <f>$AG66/100*$AL$4</f>
        <v>-3.6319999999999992</v>
      </c>
      <c r="L75" s="197"/>
      <c r="M75" s="197"/>
      <c r="N75" s="198"/>
      <c r="O75" s="196">
        <v>0</v>
      </c>
      <c r="P75" s="197"/>
      <c r="Q75" s="197"/>
      <c r="R75" s="198"/>
      <c r="S75" s="196">
        <v>0</v>
      </c>
      <c r="T75" s="197"/>
      <c r="U75" s="197"/>
      <c r="V75" s="198"/>
      <c r="W75" s="153">
        <f t="shared" si="4"/>
        <v>-7.2639999999999985</v>
      </c>
      <c r="X75" s="154"/>
      <c r="Y75" s="154"/>
      <c r="Z75" s="155"/>
    </row>
    <row r="76" spans="1:26" ht="12.75" customHeight="1" thickBot="1">
      <c r="A76" s="189"/>
      <c r="B76" s="191" t="s">
        <v>28</v>
      </c>
      <c r="C76" s="192"/>
      <c r="D76" s="192"/>
      <c r="E76" s="192"/>
      <c r="F76" s="193"/>
      <c r="G76" s="149">
        <f>IF(G75&lt;0,G68,G68+G75)</f>
        <v>30</v>
      </c>
      <c r="H76" s="147"/>
      <c r="I76" s="147"/>
      <c r="J76" s="148"/>
      <c r="K76" s="146">
        <f>IF(K75&lt;0,K68,K68+K75)</f>
        <v>20</v>
      </c>
      <c r="L76" s="147"/>
      <c r="M76" s="147"/>
      <c r="N76" s="148"/>
      <c r="O76" s="255">
        <f>IF(O75&lt;0,O68,O68+O75)</f>
        <v>0</v>
      </c>
      <c r="P76" s="256"/>
      <c r="Q76" s="256"/>
      <c r="R76" s="257"/>
      <c r="S76" s="255">
        <f>IF(S75&lt;0,S68,S68+S75)</f>
        <v>0</v>
      </c>
      <c r="T76" s="256"/>
      <c r="U76" s="256"/>
      <c r="V76" s="257"/>
      <c r="W76" s="150">
        <f t="shared" si="4"/>
        <v>50</v>
      </c>
      <c r="X76" s="151"/>
      <c r="Y76" s="151"/>
      <c r="Z76" s="152"/>
    </row>
    <row r="77" spans="1:35" ht="12.75">
      <c r="A77" s="140" t="s">
        <v>66</v>
      </c>
      <c r="B77" s="93" t="s">
        <v>23</v>
      </c>
      <c r="C77" s="94"/>
      <c r="D77" s="94"/>
      <c r="E77" s="94"/>
      <c r="F77" s="199"/>
      <c r="G77" s="185">
        <v>9000</v>
      </c>
      <c r="H77" s="183"/>
      <c r="I77" s="183"/>
      <c r="J77" s="184"/>
      <c r="K77" s="242">
        <v>4000</v>
      </c>
      <c r="L77" s="243"/>
      <c r="M77" s="243"/>
      <c r="N77" s="244"/>
      <c r="O77" s="242">
        <v>0</v>
      </c>
      <c r="P77" s="243"/>
      <c r="Q77" s="243"/>
      <c r="R77" s="244"/>
      <c r="S77" s="242">
        <v>0</v>
      </c>
      <c r="T77" s="243"/>
      <c r="U77" s="243"/>
      <c r="V77" s="244"/>
      <c r="W77" s="170">
        <f t="shared" si="4"/>
        <v>13000</v>
      </c>
      <c r="X77" s="171"/>
      <c r="Y77" s="171"/>
      <c r="Z77" s="172"/>
      <c r="AA77" s="236" t="s">
        <v>53</v>
      </c>
      <c r="AB77" s="94"/>
      <c r="AC77" s="94"/>
      <c r="AD77" s="94"/>
      <c r="AE77" s="94"/>
      <c r="AF77" s="94"/>
      <c r="AG77" s="269">
        <v>0</v>
      </c>
      <c r="AH77" s="270"/>
      <c r="AI77" s="271"/>
    </row>
    <row r="78" spans="1:35" ht="12.75">
      <c r="A78" s="141"/>
      <c r="B78" s="125" t="s">
        <v>24</v>
      </c>
      <c r="C78" s="126"/>
      <c r="D78" s="126"/>
      <c r="E78" s="126"/>
      <c r="F78" s="161"/>
      <c r="G78" s="239">
        <v>9000</v>
      </c>
      <c r="H78" s="240"/>
      <c r="I78" s="240"/>
      <c r="J78" s="241"/>
      <c r="K78" s="239">
        <v>4000</v>
      </c>
      <c r="L78" s="240"/>
      <c r="M78" s="240"/>
      <c r="N78" s="241"/>
      <c r="O78" s="239">
        <v>0</v>
      </c>
      <c r="P78" s="240"/>
      <c r="Q78" s="240"/>
      <c r="R78" s="241"/>
      <c r="S78" s="239">
        <v>0</v>
      </c>
      <c r="T78" s="240"/>
      <c r="U78" s="240"/>
      <c r="V78" s="241"/>
      <c r="W78" s="153">
        <f t="shared" si="4"/>
        <v>13000</v>
      </c>
      <c r="X78" s="154"/>
      <c r="Y78" s="154"/>
      <c r="Z78" s="155"/>
      <c r="AA78" s="205" t="s">
        <v>54</v>
      </c>
      <c r="AB78" s="126"/>
      <c r="AC78" s="126"/>
      <c r="AD78" s="126"/>
      <c r="AE78" s="126"/>
      <c r="AF78" s="126"/>
      <c r="AG78" s="278">
        <v>0</v>
      </c>
      <c r="AH78" s="278"/>
      <c r="AI78" s="279"/>
    </row>
    <row r="79" spans="1:35" ht="12.75">
      <c r="A79" s="141"/>
      <c r="B79" s="237" t="s">
        <v>130</v>
      </c>
      <c r="C79" s="204"/>
      <c r="D79" s="204"/>
      <c r="E79" s="204"/>
      <c r="F79" s="259"/>
      <c r="G79" s="249">
        <v>0</v>
      </c>
      <c r="H79" s="250"/>
      <c r="I79" s="250"/>
      <c r="J79" s="251"/>
      <c r="K79" s="252">
        <v>0</v>
      </c>
      <c r="L79" s="253"/>
      <c r="M79" s="253"/>
      <c r="N79" s="254"/>
      <c r="O79" s="252">
        <v>0</v>
      </c>
      <c r="P79" s="253"/>
      <c r="Q79" s="253"/>
      <c r="R79" s="254"/>
      <c r="S79" s="252">
        <v>0</v>
      </c>
      <c r="T79" s="253"/>
      <c r="U79" s="253"/>
      <c r="V79" s="254"/>
      <c r="W79" s="260">
        <f>(G79*G78+K79*K78+O79*O78+S79*S78)/W78</f>
        <v>0</v>
      </c>
      <c r="X79" s="261"/>
      <c r="Y79" s="261"/>
      <c r="Z79" s="262"/>
      <c r="AA79" s="205" t="s">
        <v>55</v>
      </c>
      <c r="AB79" s="126"/>
      <c r="AC79" s="126"/>
      <c r="AD79" s="126"/>
      <c r="AE79" s="126"/>
      <c r="AF79" s="126"/>
      <c r="AG79" s="134">
        <f>AG78</f>
        <v>0</v>
      </c>
      <c r="AH79" s="134"/>
      <c r="AI79" s="135"/>
    </row>
    <row r="80" spans="1:35" ht="12.75">
      <c r="A80" s="141"/>
      <c r="B80" s="125" t="s">
        <v>29</v>
      </c>
      <c r="C80" s="126"/>
      <c r="D80" s="126"/>
      <c r="E80" s="126"/>
      <c r="F80" s="161"/>
      <c r="G80" s="246">
        <f>IF(G79&lt;=10,(G79*0.005+0.35)*G78/100,((G79-10)*0.015+0.4)*G78/100)</f>
        <v>31.5</v>
      </c>
      <c r="H80" s="247"/>
      <c r="I80" s="247"/>
      <c r="J80" s="248"/>
      <c r="K80" s="246">
        <f>IF(K79&lt;=10,(K79*0.005+0.35)*K78/100,((K79-10)*0.015+0.4)*K78/100)</f>
        <v>14</v>
      </c>
      <c r="L80" s="247"/>
      <c r="M80" s="247"/>
      <c r="N80" s="248"/>
      <c r="O80" s="246">
        <f>IF(O79&lt;=10,(O79*0.005+0.35)*O78/100,((O79-10)*0.015+0.4)*O78/100)</f>
        <v>0</v>
      </c>
      <c r="P80" s="247"/>
      <c r="Q80" s="247"/>
      <c r="R80" s="248"/>
      <c r="S80" s="246">
        <f>IF(S79&lt;=10,(S79*0.005+0.35)*S78/100,((S79-10)*0.015+0.4)*S78/100)</f>
        <v>0</v>
      </c>
      <c r="T80" s="247"/>
      <c r="U80" s="247"/>
      <c r="V80" s="248"/>
      <c r="W80" s="153">
        <f aca="true" t="shared" si="5" ref="W80:W92">G80+K80+O80+S80</f>
        <v>45.5</v>
      </c>
      <c r="X80" s="154"/>
      <c r="Y80" s="154"/>
      <c r="Z80" s="155"/>
      <c r="AA80" s="205" t="s">
        <v>56</v>
      </c>
      <c r="AB80" s="126"/>
      <c r="AC80" s="126"/>
      <c r="AD80" s="126"/>
      <c r="AE80" s="126"/>
      <c r="AF80" s="126"/>
      <c r="AG80" s="134">
        <f>W88+AG79</f>
        <v>-7.299999999999997</v>
      </c>
      <c r="AH80" s="134"/>
      <c r="AI80" s="135"/>
    </row>
    <row r="81" spans="1:35" ht="13.5" thickBot="1">
      <c r="A81" s="141"/>
      <c r="B81" s="125" t="s">
        <v>10</v>
      </c>
      <c r="C81" s="126"/>
      <c r="D81" s="126"/>
      <c r="E81" s="126"/>
      <c r="F81" s="161"/>
      <c r="G81" s="169">
        <v>30</v>
      </c>
      <c r="H81" s="167"/>
      <c r="I81" s="167"/>
      <c r="J81" s="168"/>
      <c r="K81" s="166">
        <v>20</v>
      </c>
      <c r="L81" s="167"/>
      <c r="M81" s="167"/>
      <c r="N81" s="168"/>
      <c r="O81" s="239">
        <v>0</v>
      </c>
      <c r="P81" s="240"/>
      <c r="Q81" s="240"/>
      <c r="R81" s="241"/>
      <c r="S81" s="239">
        <v>0</v>
      </c>
      <c r="T81" s="240"/>
      <c r="U81" s="240"/>
      <c r="V81" s="241"/>
      <c r="W81" s="153">
        <f t="shared" si="5"/>
        <v>50</v>
      </c>
      <c r="X81" s="154"/>
      <c r="Y81" s="154"/>
      <c r="Z81" s="155"/>
      <c r="AA81" s="232" t="s">
        <v>57</v>
      </c>
      <c r="AB81" s="90"/>
      <c r="AC81" s="90"/>
      <c r="AD81" s="90"/>
      <c r="AE81" s="90"/>
      <c r="AF81" s="90"/>
      <c r="AG81" s="91">
        <f>-AG79+AG80-W89</f>
        <v>-4.379999999999999</v>
      </c>
      <c r="AH81" s="91"/>
      <c r="AI81" s="85"/>
    </row>
    <row r="82" spans="1:35" ht="13.5" thickBot="1">
      <c r="A82" s="141"/>
      <c r="B82" s="125" t="s">
        <v>58</v>
      </c>
      <c r="C82" s="126"/>
      <c r="D82" s="126"/>
      <c r="E82" s="126"/>
      <c r="F82" s="161"/>
      <c r="G82" s="156">
        <f>IF(G80&lt;G81,G81,G80)</f>
        <v>31.5</v>
      </c>
      <c r="H82" s="157"/>
      <c r="I82" s="157"/>
      <c r="J82" s="158"/>
      <c r="K82" s="160">
        <f>IF(K80&lt;K81,K81,K80)</f>
        <v>20</v>
      </c>
      <c r="L82" s="157"/>
      <c r="M82" s="157"/>
      <c r="N82" s="158"/>
      <c r="O82" s="246">
        <f>IF(O80&lt;O81,O81,O80)</f>
        <v>0</v>
      </c>
      <c r="P82" s="247"/>
      <c r="Q82" s="247"/>
      <c r="R82" s="248"/>
      <c r="S82" s="246">
        <f>IF(S80&lt;S81,S81,S80)</f>
        <v>0</v>
      </c>
      <c r="T82" s="247"/>
      <c r="U82" s="247"/>
      <c r="V82" s="248"/>
      <c r="W82" s="153">
        <f t="shared" si="5"/>
        <v>51.5</v>
      </c>
      <c r="X82" s="154"/>
      <c r="Y82" s="154"/>
      <c r="Z82" s="155"/>
      <c r="AA82" s="230" t="s">
        <v>59</v>
      </c>
      <c r="AB82" s="231"/>
      <c r="AC82" s="231"/>
      <c r="AD82" s="231"/>
      <c r="AE82" s="231"/>
      <c r="AF82" s="231"/>
      <c r="AG82" s="266">
        <f>AG78+AG81</f>
        <v>-4.379999999999999</v>
      </c>
      <c r="AH82" s="267"/>
      <c r="AI82" s="268"/>
    </row>
    <row r="83" spans="1:35" ht="12.75">
      <c r="A83" s="141"/>
      <c r="B83" s="125" t="s">
        <v>41</v>
      </c>
      <c r="C83" s="126"/>
      <c r="D83" s="126"/>
      <c r="E83" s="126"/>
      <c r="F83" s="161"/>
      <c r="G83" s="156">
        <v>16.9</v>
      </c>
      <c r="H83" s="157"/>
      <c r="I83" s="157"/>
      <c r="J83" s="158"/>
      <c r="K83" s="156">
        <v>16.9</v>
      </c>
      <c r="L83" s="157"/>
      <c r="M83" s="157"/>
      <c r="N83" s="158"/>
      <c r="O83" s="246">
        <v>0</v>
      </c>
      <c r="P83" s="247"/>
      <c r="Q83" s="247"/>
      <c r="R83" s="248"/>
      <c r="S83" s="246">
        <v>0</v>
      </c>
      <c r="T83" s="247"/>
      <c r="U83" s="247"/>
      <c r="V83" s="248"/>
      <c r="W83" s="153">
        <f t="shared" si="5"/>
        <v>33.8</v>
      </c>
      <c r="X83" s="154"/>
      <c r="Y83" s="154"/>
      <c r="Z83" s="155"/>
      <c r="AA83" s="136">
        <f>(W83+W82)/W78*100-$L$2</f>
        <v>0.05615384615384622</v>
      </c>
      <c r="AB83" s="136"/>
      <c r="AC83" s="136"/>
      <c r="AD83" s="136"/>
      <c r="AE83" s="136"/>
      <c r="AF83" s="136"/>
      <c r="AG83" s="136"/>
      <c r="AH83" s="136"/>
      <c r="AI83" s="136"/>
    </row>
    <row r="84" spans="1:35" ht="12.75">
      <c r="A84" s="141"/>
      <c r="B84" s="125" t="s">
        <v>42</v>
      </c>
      <c r="C84" s="126"/>
      <c r="D84" s="126"/>
      <c r="E84" s="126"/>
      <c r="F84" s="161"/>
      <c r="G84" s="169">
        <v>16.9</v>
      </c>
      <c r="H84" s="167"/>
      <c r="I84" s="167"/>
      <c r="J84" s="168"/>
      <c r="K84" s="169">
        <v>16.9</v>
      </c>
      <c r="L84" s="167"/>
      <c r="M84" s="167"/>
      <c r="N84" s="168"/>
      <c r="O84" s="239">
        <v>0</v>
      </c>
      <c r="P84" s="240"/>
      <c r="Q84" s="240"/>
      <c r="R84" s="241"/>
      <c r="S84" s="239">
        <v>0</v>
      </c>
      <c r="T84" s="240"/>
      <c r="U84" s="240"/>
      <c r="V84" s="241"/>
      <c r="W84" s="153">
        <f t="shared" si="5"/>
        <v>33.8</v>
      </c>
      <c r="X84" s="154"/>
      <c r="Y84" s="154"/>
      <c r="Z84" s="155"/>
      <c r="AA84" s="132">
        <f>AG77*W77/100</f>
        <v>0</v>
      </c>
      <c r="AB84" s="233"/>
      <c r="AC84" s="233"/>
      <c r="AD84" s="233"/>
      <c r="AE84" s="233"/>
      <c r="AF84" s="233"/>
      <c r="AG84" s="233"/>
      <c r="AH84" s="233"/>
      <c r="AI84" s="233"/>
    </row>
    <row r="85" spans="1:30" ht="12.75">
      <c r="A85" s="141"/>
      <c r="B85" s="125" t="s">
        <v>43</v>
      </c>
      <c r="C85" s="126"/>
      <c r="D85" s="126"/>
      <c r="E85" s="126"/>
      <c r="F85" s="161"/>
      <c r="G85" s="165">
        <f>G83-G84</f>
        <v>0</v>
      </c>
      <c r="H85" s="163"/>
      <c r="I85" s="163"/>
      <c r="J85" s="164"/>
      <c r="K85" s="162">
        <f>K83-K84</f>
        <v>0</v>
      </c>
      <c r="L85" s="163"/>
      <c r="M85" s="163"/>
      <c r="N85" s="164"/>
      <c r="O85" s="275">
        <f>O83-O84</f>
        <v>0</v>
      </c>
      <c r="P85" s="276"/>
      <c r="Q85" s="276"/>
      <c r="R85" s="277"/>
      <c r="S85" s="275">
        <v>0</v>
      </c>
      <c r="T85" s="276"/>
      <c r="U85" s="276"/>
      <c r="V85" s="277"/>
      <c r="W85" s="153">
        <f t="shared" si="5"/>
        <v>0</v>
      </c>
      <c r="X85" s="154"/>
      <c r="Y85" s="154"/>
      <c r="Z85" s="155"/>
      <c r="AA85" s="280">
        <f>IF(G79&lt;10,($L$2+0.005*G79),($L$2+0.05+(G79-10)*0.015))</f>
        <v>0.6</v>
      </c>
      <c r="AB85" s="281"/>
      <c r="AC85" s="280">
        <f>IF(K79&lt;10,($L$2+0.005*K79),($L$2+0.05+(K79-10)*0.015))</f>
        <v>0.6</v>
      </c>
      <c r="AD85" s="281"/>
    </row>
    <row r="86" spans="1:26" ht="12.75">
      <c r="A86" s="141"/>
      <c r="B86" s="125" t="s">
        <v>30</v>
      </c>
      <c r="C86" s="126"/>
      <c r="D86" s="126"/>
      <c r="E86" s="126"/>
      <c r="F86" s="161"/>
      <c r="G86" s="156">
        <f>G78/100*AA85</f>
        <v>54</v>
      </c>
      <c r="H86" s="157"/>
      <c r="I86" s="157"/>
      <c r="J86" s="158"/>
      <c r="K86" s="160">
        <f>K78/100*AC85</f>
        <v>24</v>
      </c>
      <c r="L86" s="157"/>
      <c r="M86" s="157"/>
      <c r="N86" s="158"/>
      <c r="O86" s="246">
        <f>O78/100*$L$2</f>
        <v>0</v>
      </c>
      <c r="P86" s="247"/>
      <c r="Q86" s="247"/>
      <c r="R86" s="248"/>
      <c r="S86" s="246">
        <f>S78/100*$L$2</f>
        <v>0</v>
      </c>
      <c r="T86" s="247"/>
      <c r="U86" s="247"/>
      <c r="V86" s="248"/>
      <c r="W86" s="153">
        <f t="shared" si="5"/>
        <v>78</v>
      </c>
      <c r="X86" s="154"/>
      <c r="Y86" s="154"/>
      <c r="Z86" s="155"/>
    </row>
    <row r="87" spans="1:26" ht="12.75">
      <c r="A87" s="141"/>
      <c r="B87" s="125" t="s">
        <v>44</v>
      </c>
      <c r="C87" s="126"/>
      <c r="D87" s="126"/>
      <c r="E87" s="126"/>
      <c r="F87" s="161"/>
      <c r="G87" s="156">
        <f>G86-G83-G82</f>
        <v>5.600000000000001</v>
      </c>
      <c r="H87" s="157"/>
      <c r="I87" s="157"/>
      <c r="J87" s="158"/>
      <c r="K87" s="160">
        <f>K86-K83-K82</f>
        <v>-12.899999999999999</v>
      </c>
      <c r="L87" s="157"/>
      <c r="M87" s="157"/>
      <c r="N87" s="158"/>
      <c r="O87" s="246">
        <f>O86-O83-O82</f>
        <v>0</v>
      </c>
      <c r="P87" s="247"/>
      <c r="Q87" s="247"/>
      <c r="R87" s="248"/>
      <c r="S87" s="246">
        <f>S86-S83-S82</f>
        <v>0</v>
      </c>
      <c r="T87" s="247"/>
      <c r="U87" s="247"/>
      <c r="V87" s="248"/>
      <c r="W87" s="153">
        <f t="shared" si="5"/>
        <v>-7.299999999999997</v>
      </c>
      <c r="X87" s="154"/>
      <c r="Y87" s="154"/>
      <c r="Z87" s="155"/>
    </row>
    <row r="88" spans="1:26" ht="12.75">
      <c r="A88" s="141"/>
      <c r="B88" s="125" t="s">
        <v>45</v>
      </c>
      <c r="C88" s="126"/>
      <c r="D88" s="126"/>
      <c r="E88" s="126"/>
      <c r="F88" s="161"/>
      <c r="G88" s="156">
        <f>G87+G85</f>
        <v>5.600000000000001</v>
      </c>
      <c r="H88" s="157"/>
      <c r="I88" s="157"/>
      <c r="J88" s="158"/>
      <c r="K88" s="160">
        <f>K87+K85</f>
        <v>-12.899999999999999</v>
      </c>
      <c r="L88" s="157"/>
      <c r="M88" s="157"/>
      <c r="N88" s="158"/>
      <c r="O88" s="246">
        <f>O87+O85</f>
        <v>0</v>
      </c>
      <c r="P88" s="247"/>
      <c r="Q88" s="247"/>
      <c r="R88" s="248"/>
      <c r="S88" s="246">
        <f>S87+S85</f>
        <v>0</v>
      </c>
      <c r="T88" s="247"/>
      <c r="U88" s="247"/>
      <c r="V88" s="248"/>
      <c r="W88" s="153">
        <f t="shared" si="5"/>
        <v>-7.299999999999997</v>
      </c>
      <c r="X88" s="154"/>
      <c r="Y88" s="154"/>
      <c r="Z88" s="155"/>
    </row>
    <row r="89" spans="1:26" ht="12.75">
      <c r="A89" s="141"/>
      <c r="B89" s="194" t="s">
        <v>26</v>
      </c>
      <c r="C89" s="98"/>
      <c r="D89" s="98"/>
      <c r="E89" s="98"/>
      <c r="F89" s="195"/>
      <c r="G89" s="196">
        <f>$AG80/100*$AL$3</f>
        <v>-1.4599999999999993</v>
      </c>
      <c r="H89" s="197"/>
      <c r="I89" s="197"/>
      <c r="J89" s="198"/>
      <c r="K89" s="196">
        <f>$AG80/100*$AL$4</f>
        <v>-1.4599999999999993</v>
      </c>
      <c r="L89" s="197"/>
      <c r="M89" s="197"/>
      <c r="N89" s="198"/>
      <c r="O89" s="196">
        <v>0</v>
      </c>
      <c r="P89" s="197"/>
      <c r="Q89" s="197"/>
      <c r="R89" s="198"/>
      <c r="S89" s="196">
        <v>0</v>
      </c>
      <c r="T89" s="197"/>
      <c r="U89" s="197"/>
      <c r="V89" s="198"/>
      <c r="W89" s="153">
        <f t="shared" si="5"/>
        <v>-2.9199999999999986</v>
      </c>
      <c r="X89" s="154"/>
      <c r="Y89" s="154"/>
      <c r="Z89" s="155"/>
    </row>
    <row r="90" spans="1:26" ht="12.75" customHeight="1" thickBot="1">
      <c r="A90" s="141"/>
      <c r="B90" s="191" t="s">
        <v>28</v>
      </c>
      <c r="C90" s="192"/>
      <c r="D90" s="192"/>
      <c r="E90" s="192"/>
      <c r="F90" s="193"/>
      <c r="G90" s="149">
        <f>IF(G89&lt;0,G82,G82+G89)</f>
        <v>31.5</v>
      </c>
      <c r="H90" s="147"/>
      <c r="I90" s="147"/>
      <c r="J90" s="148"/>
      <c r="K90" s="146">
        <f>IF(K89&lt;0,K82,K82+K89)</f>
        <v>20</v>
      </c>
      <c r="L90" s="147"/>
      <c r="M90" s="147"/>
      <c r="N90" s="148"/>
      <c r="O90" s="255">
        <f>IF(O89&lt;0,O82,O82+O89)</f>
        <v>0</v>
      </c>
      <c r="P90" s="256"/>
      <c r="Q90" s="256"/>
      <c r="R90" s="257"/>
      <c r="S90" s="255">
        <f>IF(S89&lt;0,S82,S82+S89)</f>
        <v>0</v>
      </c>
      <c r="T90" s="256"/>
      <c r="U90" s="256"/>
      <c r="V90" s="257"/>
      <c r="W90" s="150">
        <f t="shared" si="5"/>
        <v>51.5</v>
      </c>
      <c r="X90" s="151"/>
      <c r="Y90" s="151"/>
      <c r="Z90" s="152"/>
    </row>
    <row r="91" spans="1:35" ht="12.75">
      <c r="A91" s="140" t="s">
        <v>67</v>
      </c>
      <c r="B91" s="93" t="s">
        <v>23</v>
      </c>
      <c r="C91" s="94"/>
      <c r="D91" s="94"/>
      <c r="E91" s="94"/>
      <c r="F91" s="199"/>
      <c r="G91" s="182">
        <v>9060</v>
      </c>
      <c r="H91" s="183"/>
      <c r="I91" s="183"/>
      <c r="J91" s="184"/>
      <c r="K91" s="182">
        <v>4000</v>
      </c>
      <c r="L91" s="183"/>
      <c r="M91" s="183"/>
      <c r="N91" s="184"/>
      <c r="O91" s="242">
        <v>0</v>
      </c>
      <c r="P91" s="243"/>
      <c r="Q91" s="243"/>
      <c r="R91" s="244"/>
      <c r="S91" s="242">
        <v>0</v>
      </c>
      <c r="T91" s="243"/>
      <c r="U91" s="243"/>
      <c r="V91" s="244"/>
      <c r="W91" s="170">
        <f t="shared" si="5"/>
        <v>13060</v>
      </c>
      <c r="X91" s="171"/>
      <c r="Y91" s="171"/>
      <c r="Z91" s="172"/>
      <c r="AA91" s="236" t="s">
        <v>53</v>
      </c>
      <c r="AB91" s="94"/>
      <c r="AC91" s="94"/>
      <c r="AD91" s="94"/>
      <c r="AE91" s="94"/>
      <c r="AF91" s="94"/>
      <c r="AG91" s="269">
        <v>0</v>
      </c>
      <c r="AH91" s="270"/>
      <c r="AI91" s="271"/>
    </row>
    <row r="92" spans="1:35" ht="12.75">
      <c r="A92" s="141"/>
      <c r="B92" s="125" t="s">
        <v>24</v>
      </c>
      <c r="C92" s="126"/>
      <c r="D92" s="126"/>
      <c r="E92" s="126"/>
      <c r="F92" s="161"/>
      <c r="G92" s="166">
        <v>9060</v>
      </c>
      <c r="H92" s="167"/>
      <c r="I92" s="167"/>
      <c r="J92" s="168"/>
      <c r="K92" s="166">
        <v>4000</v>
      </c>
      <c r="L92" s="167"/>
      <c r="M92" s="167"/>
      <c r="N92" s="168"/>
      <c r="O92" s="239">
        <v>0</v>
      </c>
      <c r="P92" s="240"/>
      <c r="Q92" s="240"/>
      <c r="R92" s="241"/>
      <c r="S92" s="239">
        <v>0</v>
      </c>
      <c r="T92" s="240"/>
      <c r="U92" s="240"/>
      <c r="V92" s="241"/>
      <c r="W92" s="153">
        <f t="shared" si="5"/>
        <v>13060</v>
      </c>
      <c r="X92" s="154"/>
      <c r="Y92" s="154"/>
      <c r="Z92" s="155"/>
      <c r="AA92" s="205" t="s">
        <v>54</v>
      </c>
      <c r="AB92" s="126"/>
      <c r="AC92" s="126"/>
      <c r="AD92" s="126"/>
      <c r="AE92" s="126"/>
      <c r="AF92" s="126"/>
      <c r="AG92" s="278">
        <v>0</v>
      </c>
      <c r="AH92" s="278"/>
      <c r="AI92" s="279"/>
    </row>
    <row r="93" spans="1:35" ht="12.75">
      <c r="A93" s="141"/>
      <c r="B93" s="237" t="s">
        <v>130</v>
      </c>
      <c r="C93" s="204"/>
      <c r="D93" s="204"/>
      <c r="E93" s="204"/>
      <c r="F93" s="259"/>
      <c r="G93" s="249">
        <v>0</v>
      </c>
      <c r="H93" s="250"/>
      <c r="I93" s="250"/>
      <c r="J93" s="251"/>
      <c r="K93" s="252">
        <v>0</v>
      </c>
      <c r="L93" s="253"/>
      <c r="M93" s="253"/>
      <c r="N93" s="254"/>
      <c r="O93" s="252">
        <v>0</v>
      </c>
      <c r="P93" s="253"/>
      <c r="Q93" s="253"/>
      <c r="R93" s="254"/>
      <c r="S93" s="252">
        <v>0</v>
      </c>
      <c r="T93" s="253"/>
      <c r="U93" s="253"/>
      <c r="V93" s="254"/>
      <c r="W93" s="260">
        <f>(G93*G92+K93*K92+O93*O92+S93*S92)/W92</f>
        <v>0</v>
      </c>
      <c r="X93" s="261"/>
      <c r="Y93" s="261"/>
      <c r="Z93" s="262"/>
      <c r="AA93" s="205" t="s">
        <v>55</v>
      </c>
      <c r="AB93" s="126"/>
      <c r="AC93" s="126"/>
      <c r="AD93" s="126"/>
      <c r="AE93" s="126"/>
      <c r="AF93" s="126"/>
      <c r="AG93" s="134">
        <f>AG92</f>
        <v>0</v>
      </c>
      <c r="AH93" s="134"/>
      <c r="AI93" s="135"/>
    </row>
    <row r="94" spans="1:35" ht="12.75">
      <c r="A94" s="141"/>
      <c r="B94" s="125" t="s">
        <v>29</v>
      </c>
      <c r="C94" s="126"/>
      <c r="D94" s="126"/>
      <c r="E94" s="126"/>
      <c r="F94" s="161"/>
      <c r="G94" s="246">
        <f>IF(G93&lt;=10,(G93*0.005+0.35)*G92/100,((G93-10)*0.015+0.4)*G92/100)</f>
        <v>31.71</v>
      </c>
      <c r="H94" s="247"/>
      <c r="I94" s="247"/>
      <c r="J94" s="248"/>
      <c r="K94" s="246">
        <f>IF(K93&lt;=10,(K93*0.005+0.35)*K92/100,((K93-10)*0.015+0.4)*K92/100)</f>
        <v>14</v>
      </c>
      <c r="L94" s="247"/>
      <c r="M94" s="247"/>
      <c r="N94" s="248"/>
      <c r="O94" s="246">
        <f>IF(O93&lt;=10,(O93*0.005+0.35)*O92/100,((O93-10)*0.015+0.4)*O92/100)</f>
        <v>0</v>
      </c>
      <c r="P94" s="247"/>
      <c r="Q94" s="247"/>
      <c r="R94" s="248"/>
      <c r="S94" s="246">
        <f>IF(S93&lt;=10,(S93*0.005+0.35)*S92/100,((S93-10)*0.015+0.4)*S92/100)</f>
        <v>0</v>
      </c>
      <c r="T94" s="247"/>
      <c r="U94" s="247"/>
      <c r="V94" s="248"/>
      <c r="W94" s="153">
        <f aca="true" t="shared" si="6" ref="W94:W106">G94+K94+O94+S94</f>
        <v>45.71</v>
      </c>
      <c r="X94" s="154"/>
      <c r="Y94" s="154"/>
      <c r="Z94" s="155"/>
      <c r="AA94" s="205" t="s">
        <v>56</v>
      </c>
      <c r="AB94" s="126"/>
      <c r="AC94" s="126"/>
      <c r="AD94" s="126"/>
      <c r="AE94" s="126"/>
      <c r="AF94" s="126"/>
      <c r="AG94" s="134">
        <f>W102+AG93</f>
        <v>-7.150000000000006</v>
      </c>
      <c r="AH94" s="134"/>
      <c r="AI94" s="135"/>
    </row>
    <row r="95" spans="1:35" ht="13.5" thickBot="1">
      <c r="A95" s="141"/>
      <c r="B95" s="125" t="s">
        <v>10</v>
      </c>
      <c r="C95" s="126"/>
      <c r="D95" s="126"/>
      <c r="E95" s="126"/>
      <c r="F95" s="161"/>
      <c r="G95" s="169">
        <v>30</v>
      </c>
      <c r="H95" s="167"/>
      <c r="I95" s="167"/>
      <c r="J95" s="168"/>
      <c r="K95" s="166">
        <v>20</v>
      </c>
      <c r="L95" s="167"/>
      <c r="M95" s="167"/>
      <c r="N95" s="168"/>
      <c r="O95" s="239">
        <v>0</v>
      </c>
      <c r="P95" s="240"/>
      <c r="Q95" s="240"/>
      <c r="R95" s="241"/>
      <c r="S95" s="239">
        <v>0</v>
      </c>
      <c r="T95" s="240"/>
      <c r="U95" s="240"/>
      <c r="V95" s="241"/>
      <c r="W95" s="153">
        <f t="shared" si="6"/>
        <v>50</v>
      </c>
      <c r="X95" s="154"/>
      <c r="Y95" s="154"/>
      <c r="Z95" s="155"/>
      <c r="AA95" s="232" t="s">
        <v>57</v>
      </c>
      <c r="AB95" s="90"/>
      <c r="AC95" s="90"/>
      <c r="AD95" s="90"/>
      <c r="AE95" s="90"/>
      <c r="AF95" s="90"/>
      <c r="AG95" s="91">
        <f>-AG93+AG94-W103</f>
        <v>-4.290000000000003</v>
      </c>
      <c r="AH95" s="91"/>
      <c r="AI95" s="85"/>
    </row>
    <row r="96" spans="1:35" ht="13.5" thickBot="1">
      <c r="A96" s="141"/>
      <c r="B96" s="125" t="s">
        <v>58</v>
      </c>
      <c r="C96" s="126"/>
      <c r="D96" s="126"/>
      <c r="E96" s="126"/>
      <c r="F96" s="161"/>
      <c r="G96" s="156">
        <f>IF(G94&lt;G95,G95,G94)</f>
        <v>31.71</v>
      </c>
      <c r="H96" s="157"/>
      <c r="I96" s="157"/>
      <c r="J96" s="158"/>
      <c r="K96" s="160">
        <f>IF(K94&lt;K95,K95,K94)</f>
        <v>20</v>
      </c>
      <c r="L96" s="157"/>
      <c r="M96" s="157"/>
      <c r="N96" s="158"/>
      <c r="O96" s="246">
        <f>IF(O94&lt;O95,O95,O94)</f>
        <v>0</v>
      </c>
      <c r="P96" s="247"/>
      <c r="Q96" s="247"/>
      <c r="R96" s="248"/>
      <c r="S96" s="246">
        <f>IF(S94&lt;S95,S95,S94)</f>
        <v>0</v>
      </c>
      <c r="T96" s="247"/>
      <c r="U96" s="247"/>
      <c r="V96" s="248"/>
      <c r="W96" s="153">
        <f t="shared" si="6"/>
        <v>51.71</v>
      </c>
      <c r="X96" s="154"/>
      <c r="Y96" s="154"/>
      <c r="Z96" s="155"/>
      <c r="AA96" s="230" t="s">
        <v>59</v>
      </c>
      <c r="AB96" s="231"/>
      <c r="AC96" s="231"/>
      <c r="AD96" s="231"/>
      <c r="AE96" s="231"/>
      <c r="AF96" s="231"/>
      <c r="AG96" s="266">
        <f>AG92+AG95</f>
        <v>-4.290000000000003</v>
      </c>
      <c r="AH96" s="267"/>
      <c r="AI96" s="268"/>
    </row>
    <row r="97" spans="1:35" ht="12.75">
      <c r="A97" s="141"/>
      <c r="B97" s="125" t="s">
        <v>41</v>
      </c>
      <c r="C97" s="126"/>
      <c r="D97" s="126"/>
      <c r="E97" s="126"/>
      <c r="F97" s="161"/>
      <c r="G97" s="156">
        <v>16.9</v>
      </c>
      <c r="H97" s="157"/>
      <c r="I97" s="157"/>
      <c r="J97" s="158"/>
      <c r="K97" s="156">
        <v>16.9</v>
      </c>
      <c r="L97" s="157"/>
      <c r="M97" s="157"/>
      <c r="N97" s="158"/>
      <c r="O97" s="246">
        <v>0</v>
      </c>
      <c r="P97" s="247"/>
      <c r="Q97" s="247"/>
      <c r="R97" s="248"/>
      <c r="S97" s="246">
        <v>0</v>
      </c>
      <c r="T97" s="247"/>
      <c r="U97" s="247"/>
      <c r="V97" s="248"/>
      <c r="W97" s="153">
        <f t="shared" si="6"/>
        <v>33.8</v>
      </c>
      <c r="X97" s="154"/>
      <c r="Y97" s="154"/>
      <c r="Z97" s="155"/>
      <c r="AA97" s="136">
        <f>(W97+W96)/W92*100-$L$2</f>
        <v>0.05474732006125571</v>
      </c>
      <c r="AB97" s="136"/>
      <c r="AC97" s="136"/>
      <c r="AD97" s="136"/>
      <c r="AE97" s="136"/>
      <c r="AF97" s="136"/>
      <c r="AG97" s="136"/>
      <c r="AH97" s="136"/>
      <c r="AI97" s="136"/>
    </row>
    <row r="98" spans="1:35" ht="12.75">
      <c r="A98" s="141"/>
      <c r="B98" s="125" t="s">
        <v>42</v>
      </c>
      <c r="C98" s="126"/>
      <c r="D98" s="126"/>
      <c r="E98" s="126"/>
      <c r="F98" s="161"/>
      <c r="G98" s="169">
        <v>16.9</v>
      </c>
      <c r="H98" s="167"/>
      <c r="I98" s="167"/>
      <c r="J98" s="168"/>
      <c r="K98" s="169">
        <v>16.9</v>
      </c>
      <c r="L98" s="167"/>
      <c r="M98" s="167"/>
      <c r="N98" s="168"/>
      <c r="O98" s="239">
        <v>0</v>
      </c>
      <c r="P98" s="240"/>
      <c r="Q98" s="240"/>
      <c r="R98" s="241"/>
      <c r="S98" s="239">
        <v>0</v>
      </c>
      <c r="T98" s="240"/>
      <c r="U98" s="240"/>
      <c r="V98" s="241"/>
      <c r="W98" s="153">
        <f t="shared" si="6"/>
        <v>33.8</v>
      </c>
      <c r="X98" s="154"/>
      <c r="Y98" s="154"/>
      <c r="Z98" s="155"/>
      <c r="AA98" s="132">
        <f>AG91*W91/100</f>
        <v>0</v>
      </c>
      <c r="AB98" s="233"/>
      <c r="AC98" s="233"/>
      <c r="AD98" s="233"/>
      <c r="AE98" s="233"/>
      <c r="AF98" s="233"/>
      <c r="AG98" s="233"/>
      <c r="AH98" s="233"/>
      <c r="AI98" s="233"/>
    </row>
    <row r="99" spans="1:30" ht="12.75">
      <c r="A99" s="141"/>
      <c r="B99" s="125" t="s">
        <v>43</v>
      </c>
      <c r="C99" s="126"/>
      <c r="D99" s="126"/>
      <c r="E99" s="126"/>
      <c r="F99" s="161"/>
      <c r="G99" s="165">
        <f>G97-G98</f>
        <v>0</v>
      </c>
      <c r="H99" s="163"/>
      <c r="I99" s="163"/>
      <c r="J99" s="164"/>
      <c r="K99" s="162">
        <f>K97-K98</f>
        <v>0</v>
      </c>
      <c r="L99" s="163"/>
      <c r="M99" s="163"/>
      <c r="N99" s="164"/>
      <c r="O99" s="275">
        <f>O97-O98</f>
        <v>0</v>
      </c>
      <c r="P99" s="276"/>
      <c r="Q99" s="276"/>
      <c r="R99" s="277"/>
      <c r="S99" s="275">
        <v>0</v>
      </c>
      <c r="T99" s="276"/>
      <c r="U99" s="276"/>
      <c r="V99" s="277"/>
      <c r="W99" s="153">
        <f t="shared" si="6"/>
        <v>0</v>
      </c>
      <c r="X99" s="154"/>
      <c r="Y99" s="154"/>
      <c r="Z99" s="155"/>
      <c r="AA99" s="280">
        <f>IF(G93&lt;10,($L$2+0.005*G93),($L$2+0.05+(G93-10)*0.015))</f>
        <v>0.6</v>
      </c>
      <c r="AB99" s="281"/>
      <c r="AC99" s="280">
        <f>IF(K93&lt;10,($L$2+0.005*K93),($L$2+0.05+(K93-10)*0.015))</f>
        <v>0.6</v>
      </c>
      <c r="AD99" s="281"/>
    </row>
    <row r="100" spans="1:26" ht="12.75">
      <c r="A100" s="141"/>
      <c r="B100" s="125" t="s">
        <v>30</v>
      </c>
      <c r="C100" s="126"/>
      <c r="D100" s="126"/>
      <c r="E100" s="126"/>
      <c r="F100" s="161"/>
      <c r="G100" s="156">
        <f>G92/100*AA99</f>
        <v>54.35999999999999</v>
      </c>
      <c r="H100" s="157"/>
      <c r="I100" s="157"/>
      <c r="J100" s="158"/>
      <c r="K100" s="160">
        <f>K92/100*AC99</f>
        <v>24</v>
      </c>
      <c r="L100" s="157"/>
      <c r="M100" s="157"/>
      <c r="N100" s="158"/>
      <c r="O100" s="246">
        <f>O92/100*$L$2</f>
        <v>0</v>
      </c>
      <c r="P100" s="247"/>
      <c r="Q100" s="247"/>
      <c r="R100" s="248"/>
      <c r="S100" s="246">
        <f>S92/100*$L$2</f>
        <v>0</v>
      </c>
      <c r="T100" s="247"/>
      <c r="U100" s="247"/>
      <c r="V100" s="248"/>
      <c r="W100" s="153">
        <f t="shared" si="6"/>
        <v>78.35999999999999</v>
      </c>
      <c r="X100" s="154"/>
      <c r="Y100" s="154"/>
      <c r="Z100" s="155"/>
    </row>
    <row r="101" spans="1:26" ht="12.75">
      <c r="A101" s="141"/>
      <c r="B101" s="125" t="s">
        <v>44</v>
      </c>
      <c r="C101" s="126"/>
      <c r="D101" s="126"/>
      <c r="E101" s="126"/>
      <c r="F101" s="161"/>
      <c r="G101" s="156">
        <f>G100-G97-G96</f>
        <v>5.749999999999993</v>
      </c>
      <c r="H101" s="157"/>
      <c r="I101" s="157"/>
      <c r="J101" s="158"/>
      <c r="K101" s="160">
        <f>K100-K97-K96</f>
        <v>-12.899999999999999</v>
      </c>
      <c r="L101" s="157"/>
      <c r="M101" s="157"/>
      <c r="N101" s="158"/>
      <c r="O101" s="246">
        <f>O100-O97-O96</f>
        <v>0</v>
      </c>
      <c r="P101" s="247"/>
      <c r="Q101" s="247"/>
      <c r="R101" s="248"/>
      <c r="S101" s="246">
        <f>S100-S97-S96</f>
        <v>0</v>
      </c>
      <c r="T101" s="247"/>
      <c r="U101" s="247"/>
      <c r="V101" s="248"/>
      <c r="W101" s="153">
        <f t="shared" si="6"/>
        <v>-7.150000000000006</v>
      </c>
      <c r="X101" s="154"/>
      <c r="Y101" s="154"/>
      <c r="Z101" s="155"/>
    </row>
    <row r="102" spans="1:26" ht="12.75">
      <c r="A102" s="141"/>
      <c r="B102" s="125" t="s">
        <v>45</v>
      </c>
      <c r="C102" s="126"/>
      <c r="D102" s="126"/>
      <c r="E102" s="126"/>
      <c r="F102" s="161"/>
      <c r="G102" s="156">
        <f>G101+G99</f>
        <v>5.749999999999993</v>
      </c>
      <c r="H102" s="157"/>
      <c r="I102" s="157"/>
      <c r="J102" s="158"/>
      <c r="K102" s="160">
        <f>K101+K99</f>
        <v>-12.899999999999999</v>
      </c>
      <c r="L102" s="157"/>
      <c r="M102" s="157"/>
      <c r="N102" s="158"/>
      <c r="O102" s="246">
        <f>O101+O99</f>
        <v>0</v>
      </c>
      <c r="P102" s="247"/>
      <c r="Q102" s="247"/>
      <c r="R102" s="248"/>
      <c r="S102" s="246">
        <f>S101+S99</f>
        <v>0</v>
      </c>
      <c r="T102" s="247"/>
      <c r="U102" s="247"/>
      <c r="V102" s="248"/>
      <c r="W102" s="153">
        <f t="shared" si="6"/>
        <v>-7.150000000000006</v>
      </c>
      <c r="X102" s="154"/>
      <c r="Y102" s="154"/>
      <c r="Z102" s="155"/>
    </row>
    <row r="103" spans="1:26" ht="12.75">
      <c r="A103" s="141"/>
      <c r="B103" s="194" t="s">
        <v>26</v>
      </c>
      <c r="C103" s="98"/>
      <c r="D103" s="98"/>
      <c r="E103" s="98"/>
      <c r="F103" s="195"/>
      <c r="G103" s="196">
        <f>$AG94/100*$AL$3</f>
        <v>-1.4300000000000013</v>
      </c>
      <c r="H103" s="197"/>
      <c r="I103" s="197"/>
      <c r="J103" s="198"/>
      <c r="K103" s="196">
        <f>$AG94/100*$AL$4</f>
        <v>-1.4300000000000013</v>
      </c>
      <c r="L103" s="197"/>
      <c r="M103" s="197"/>
      <c r="N103" s="198"/>
      <c r="O103" s="196">
        <v>0</v>
      </c>
      <c r="P103" s="197"/>
      <c r="Q103" s="197"/>
      <c r="R103" s="198"/>
      <c r="S103" s="196">
        <v>0</v>
      </c>
      <c r="T103" s="197"/>
      <c r="U103" s="197"/>
      <c r="V103" s="198"/>
      <c r="W103" s="153">
        <f t="shared" si="6"/>
        <v>-2.8600000000000025</v>
      </c>
      <c r="X103" s="154"/>
      <c r="Y103" s="154"/>
      <c r="Z103" s="155"/>
    </row>
    <row r="104" spans="1:26" ht="12.75" customHeight="1" thickBot="1">
      <c r="A104" s="141"/>
      <c r="B104" s="191" t="s">
        <v>28</v>
      </c>
      <c r="C104" s="192"/>
      <c r="D104" s="192"/>
      <c r="E104" s="192"/>
      <c r="F104" s="193"/>
      <c r="G104" s="149">
        <f>IF(G103&lt;0,G96,G96+G103)</f>
        <v>31.71</v>
      </c>
      <c r="H104" s="147"/>
      <c r="I104" s="147"/>
      <c r="J104" s="148"/>
      <c r="K104" s="146">
        <f>IF(K103&lt;0,K96,K96+K103)</f>
        <v>20</v>
      </c>
      <c r="L104" s="147"/>
      <c r="M104" s="147"/>
      <c r="N104" s="148"/>
      <c r="O104" s="255">
        <f>IF(O103&lt;0,O96,O96+O103)</f>
        <v>0</v>
      </c>
      <c r="P104" s="256"/>
      <c r="Q104" s="256"/>
      <c r="R104" s="257"/>
      <c r="S104" s="255">
        <f>IF(S103&lt;0,S96,S96+S103)</f>
        <v>0</v>
      </c>
      <c r="T104" s="256"/>
      <c r="U104" s="256"/>
      <c r="V104" s="257"/>
      <c r="W104" s="150">
        <f t="shared" si="6"/>
        <v>51.71</v>
      </c>
      <c r="X104" s="151"/>
      <c r="Y104" s="151"/>
      <c r="Z104" s="152"/>
    </row>
    <row r="105" spans="1:35" ht="12.75">
      <c r="A105" s="140" t="s">
        <v>68</v>
      </c>
      <c r="B105" s="93" t="s">
        <v>23</v>
      </c>
      <c r="C105" s="94"/>
      <c r="D105" s="94"/>
      <c r="E105" s="94"/>
      <c r="F105" s="199"/>
      <c r="G105" s="182">
        <v>9960</v>
      </c>
      <c r="H105" s="183"/>
      <c r="I105" s="183"/>
      <c r="J105" s="184"/>
      <c r="K105" s="182">
        <v>4000</v>
      </c>
      <c r="L105" s="183"/>
      <c r="M105" s="183"/>
      <c r="N105" s="184"/>
      <c r="O105" s="242">
        <v>0</v>
      </c>
      <c r="P105" s="243"/>
      <c r="Q105" s="243"/>
      <c r="R105" s="244"/>
      <c r="S105" s="242">
        <v>0</v>
      </c>
      <c r="T105" s="243"/>
      <c r="U105" s="243"/>
      <c r="V105" s="244"/>
      <c r="W105" s="170">
        <f t="shared" si="6"/>
        <v>13960</v>
      </c>
      <c r="X105" s="171"/>
      <c r="Y105" s="171"/>
      <c r="Z105" s="172"/>
      <c r="AA105" s="236" t="s">
        <v>53</v>
      </c>
      <c r="AB105" s="94"/>
      <c r="AC105" s="94"/>
      <c r="AD105" s="94"/>
      <c r="AE105" s="94"/>
      <c r="AF105" s="94"/>
      <c r="AG105" s="269">
        <v>0</v>
      </c>
      <c r="AH105" s="270"/>
      <c r="AI105" s="271"/>
    </row>
    <row r="106" spans="1:35" ht="12.75">
      <c r="A106" s="141"/>
      <c r="B106" s="125" t="s">
        <v>24</v>
      </c>
      <c r="C106" s="126"/>
      <c r="D106" s="126"/>
      <c r="E106" s="126"/>
      <c r="F106" s="161"/>
      <c r="G106" s="166">
        <v>9960</v>
      </c>
      <c r="H106" s="167"/>
      <c r="I106" s="167"/>
      <c r="J106" s="168"/>
      <c r="K106" s="166">
        <v>4000</v>
      </c>
      <c r="L106" s="167"/>
      <c r="M106" s="167"/>
      <c r="N106" s="168"/>
      <c r="O106" s="239">
        <v>0</v>
      </c>
      <c r="P106" s="240"/>
      <c r="Q106" s="240"/>
      <c r="R106" s="241"/>
      <c r="S106" s="239">
        <v>0</v>
      </c>
      <c r="T106" s="240"/>
      <c r="U106" s="240"/>
      <c r="V106" s="241"/>
      <c r="W106" s="153">
        <f t="shared" si="6"/>
        <v>13960</v>
      </c>
      <c r="X106" s="154"/>
      <c r="Y106" s="154"/>
      <c r="Z106" s="155"/>
      <c r="AA106" s="205" t="s">
        <v>54</v>
      </c>
      <c r="AB106" s="126"/>
      <c r="AC106" s="126"/>
      <c r="AD106" s="126"/>
      <c r="AE106" s="126"/>
      <c r="AF106" s="126"/>
      <c r="AG106" s="278">
        <v>0</v>
      </c>
      <c r="AH106" s="278"/>
      <c r="AI106" s="279"/>
    </row>
    <row r="107" spans="1:35" ht="12.75">
      <c r="A107" s="141"/>
      <c r="B107" s="237" t="s">
        <v>130</v>
      </c>
      <c r="C107" s="204"/>
      <c r="D107" s="204"/>
      <c r="E107" s="204"/>
      <c r="F107" s="259"/>
      <c r="G107" s="249">
        <v>0</v>
      </c>
      <c r="H107" s="250"/>
      <c r="I107" s="250"/>
      <c r="J107" s="251"/>
      <c r="K107" s="252">
        <v>0</v>
      </c>
      <c r="L107" s="253"/>
      <c r="M107" s="253"/>
      <c r="N107" s="254"/>
      <c r="O107" s="252">
        <v>0</v>
      </c>
      <c r="P107" s="253"/>
      <c r="Q107" s="253"/>
      <c r="R107" s="254"/>
      <c r="S107" s="252">
        <v>0</v>
      </c>
      <c r="T107" s="253"/>
      <c r="U107" s="253"/>
      <c r="V107" s="254"/>
      <c r="W107" s="260">
        <f>(G107*G106+K107*K106+O107*O106+S107*S106)/W106</f>
        <v>0</v>
      </c>
      <c r="X107" s="261"/>
      <c r="Y107" s="261"/>
      <c r="Z107" s="262"/>
      <c r="AA107" s="205" t="s">
        <v>55</v>
      </c>
      <c r="AB107" s="126"/>
      <c r="AC107" s="126"/>
      <c r="AD107" s="126"/>
      <c r="AE107" s="126"/>
      <c r="AF107" s="126"/>
      <c r="AG107" s="134">
        <f>AG106</f>
        <v>0</v>
      </c>
      <c r="AH107" s="134"/>
      <c r="AI107" s="135"/>
    </row>
    <row r="108" spans="1:35" ht="12.75">
      <c r="A108" s="141"/>
      <c r="B108" s="125" t="s">
        <v>29</v>
      </c>
      <c r="C108" s="126"/>
      <c r="D108" s="126"/>
      <c r="E108" s="126"/>
      <c r="F108" s="161"/>
      <c r="G108" s="246">
        <f>IF(G107&lt;=10,(G107*0.005+0.35)*G106/100,((G107-10)*0.015+0.4)*G106/100)</f>
        <v>34.86</v>
      </c>
      <c r="H108" s="247"/>
      <c r="I108" s="247"/>
      <c r="J108" s="248"/>
      <c r="K108" s="246">
        <f>IF(K107&lt;=10,(K107*0.005+0.35)*K106/100,((K107-10)*0.015+0.4)*K106/100)</f>
        <v>14</v>
      </c>
      <c r="L108" s="247"/>
      <c r="M108" s="247"/>
      <c r="N108" s="248"/>
      <c r="O108" s="246">
        <f>IF(O107&lt;=10,(O107*0.005+0.35)*O106/100,((O107-10)*0.015+0.4)*O106/100)</f>
        <v>0</v>
      </c>
      <c r="P108" s="247"/>
      <c r="Q108" s="247"/>
      <c r="R108" s="248"/>
      <c r="S108" s="246">
        <f>IF(S107&lt;=10,(S107*0.005+0.35)*S106/100,((S107-10)*0.015+0.4)*S106/100)</f>
        <v>0</v>
      </c>
      <c r="T108" s="247"/>
      <c r="U108" s="247"/>
      <c r="V108" s="248"/>
      <c r="W108" s="153">
        <f aca="true" t="shared" si="7" ref="W108:W118">G108+K108+O108+S108</f>
        <v>48.86</v>
      </c>
      <c r="X108" s="154"/>
      <c r="Y108" s="154"/>
      <c r="Z108" s="155"/>
      <c r="AA108" s="205" t="s">
        <v>56</v>
      </c>
      <c r="AB108" s="126"/>
      <c r="AC108" s="126"/>
      <c r="AD108" s="126"/>
      <c r="AE108" s="126"/>
      <c r="AF108" s="126"/>
      <c r="AG108" s="134">
        <f>W116+AG107</f>
        <v>-4.900000000000006</v>
      </c>
      <c r="AH108" s="134"/>
      <c r="AI108" s="135"/>
    </row>
    <row r="109" spans="1:35" ht="13.5" thickBot="1">
      <c r="A109" s="141"/>
      <c r="B109" s="125" t="s">
        <v>10</v>
      </c>
      <c r="C109" s="126"/>
      <c r="D109" s="126"/>
      <c r="E109" s="126"/>
      <c r="F109" s="161"/>
      <c r="G109" s="169">
        <v>30</v>
      </c>
      <c r="H109" s="167"/>
      <c r="I109" s="167"/>
      <c r="J109" s="168"/>
      <c r="K109" s="166">
        <v>20</v>
      </c>
      <c r="L109" s="167"/>
      <c r="M109" s="167"/>
      <c r="N109" s="168"/>
      <c r="O109" s="239">
        <v>0</v>
      </c>
      <c r="P109" s="240"/>
      <c r="Q109" s="240"/>
      <c r="R109" s="241"/>
      <c r="S109" s="239">
        <v>0</v>
      </c>
      <c r="T109" s="240"/>
      <c r="U109" s="240"/>
      <c r="V109" s="241"/>
      <c r="W109" s="153">
        <f t="shared" si="7"/>
        <v>50</v>
      </c>
      <c r="X109" s="154"/>
      <c r="Y109" s="154"/>
      <c r="Z109" s="155"/>
      <c r="AA109" s="232" t="s">
        <v>57</v>
      </c>
      <c r="AB109" s="90"/>
      <c r="AC109" s="90"/>
      <c r="AD109" s="90"/>
      <c r="AE109" s="90"/>
      <c r="AF109" s="90"/>
      <c r="AG109" s="91">
        <f>-AG107+AG108-W117</f>
        <v>-2.9400000000000035</v>
      </c>
      <c r="AH109" s="91"/>
      <c r="AI109" s="85"/>
    </row>
    <row r="110" spans="1:35" ht="13.5" thickBot="1">
      <c r="A110" s="141"/>
      <c r="B110" s="125" t="s">
        <v>58</v>
      </c>
      <c r="C110" s="126"/>
      <c r="D110" s="126"/>
      <c r="E110" s="126"/>
      <c r="F110" s="161"/>
      <c r="G110" s="156">
        <f>IF(G108&lt;G109,G109,G108)</f>
        <v>34.86</v>
      </c>
      <c r="H110" s="157"/>
      <c r="I110" s="157"/>
      <c r="J110" s="158"/>
      <c r="K110" s="160">
        <f>IF(K108&lt;K109,K109,K108)</f>
        <v>20</v>
      </c>
      <c r="L110" s="157"/>
      <c r="M110" s="157"/>
      <c r="N110" s="158"/>
      <c r="O110" s="246">
        <f>IF(O108&lt;O109,O109,O108)</f>
        <v>0</v>
      </c>
      <c r="P110" s="247"/>
      <c r="Q110" s="247"/>
      <c r="R110" s="248"/>
      <c r="S110" s="246">
        <f>IF(S108&lt;S109,S109,S108)</f>
        <v>0</v>
      </c>
      <c r="T110" s="247"/>
      <c r="U110" s="247"/>
      <c r="V110" s="248"/>
      <c r="W110" s="153">
        <f t="shared" si="7"/>
        <v>54.86</v>
      </c>
      <c r="X110" s="154"/>
      <c r="Y110" s="154"/>
      <c r="Z110" s="155"/>
      <c r="AA110" s="230" t="s">
        <v>59</v>
      </c>
      <c r="AB110" s="231"/>
      <c r="AC110" s="231"/>
      <c r="AD110" s="231"/>
      <c r="AE110" s="231"/>
      <c r="AF110" s="231"/>
      <c r="AG110" s="266">
        <f>AG106+AG109</f>
        <v>-2.9400000000000035</v>
      </c>
      <c r="AH110" s="267"/>
      <c r="AI110" s="268"/>
    </row>
    <row r="111" spans="1:35" ht="12.75">
      <c r="A111" s="141"/>
      <c r="B111" s="125" t="s">
        <v>41</v>
      </c>
      <c r="C111" s="126"/>
      <c r="D111" s="126"/>
      <c r="E111" s="126"/>
      <c r="F111" s="161"/>
      <c r="G111" s="156">
        <v>16.9</v>
      </c>
      <c r="H111" s="157"/>
      <c r="I111" s="157"/>
      <c r="J111" s="158"/>
      <c r="K111" s="156">
        <v>16.9</v>
      </c>
      <c r="L111" s="157"/>
      <c r="M111" s="157"/>
      <c r="N111" s="158"/>
      <c r="O111" s="246">
        <v>0</v>
      </c>
      <c r="P111" s="247"/>
      <c r="Q111" s="247"/>
      <c r="R111" s="248"/>
      <c r="S111" s="246">
        <v>0</v>
      </c>
      <c r="T111" s="247"/>
      <c r="U111" s="247"/>
      <c r="V111" s="248"/>
      <c r="W111" s="153">
        <f t="shared" si="7"/>
        <v>33.8</v>
      </c>
      <c r="X111" s="154"/>
      <c r="Y111" s="154"/>
      <c r="Z111" s="155"/>
      <c r="AA111" s="136">
        <f>(W111+W110)/W106*100-$L$2</f>
        <v>0.035100286532951275</v>
      </c>
      <c r="AB111" s="136"/>
      <c r="AC111" s="136"/>
      <c r="AD111" s="136"/>
      <c r="AE111" s="136"/>
      <c r="AF111" s="136"/>
      <c r="AG111" s="136"/>
      <c r="AH111" s="136"/>
      <c r="AI111" s="136"/>
    </row>
    <row r="112" spans="1:35" ht="12.75">
      <c r="A112" s="141"/>
      <c r="B112" s="125" t="s">
        <v>42</v>
      </c>
      <c r="C112" s="126"/>
      <c r="D112" s="126"/>
      <c r="E112" s="126"/>
      <c r="F112" s="161"/>
      <c r="G112" s="169">
        <v>16.9</v>
      </c>
      <c r="H112" s="167"/>
      <c r="I112" s="167"/>
      <c r="J112" s="168"/>
      <c r="K112" s="169">
        <v>16.9</v>
      </c>
      <c r="L112" s="167"/>
      <c r="M112" s="167"/>
      <c r="N112" s="168"/>
      <c r="O112" s="239">
        <v>0</v>
      </c>
      <c r="P112" s="240"/>
      <c r="Q112" s="240"/>
      <c r="R112" s="241"/>
      <c r="S112" s="239">
        <v>0</v>
      </c>
      <c r="T112" s="240"/>
      <c r="U112" s="240"/>
      <c r="V112" s="241"/>
      <c r="W112" s="153">
        <f t="shared" si="7"/>
        <v>33.8</v>
      </c>
      <c r="X112" s="154"/>
      <c r="Y112" s="154"/>
      <c r="Z112" s="155"/>
      <c r="AA112" s="132">
        <f>AG105*W105/100</f>
        <v>0</v>
      </c>
      <c r="AB112" s="233"/>
      <c r="AC112" s="233"/>
      <c r="AD112" s="233"/>
      <c r="AE112" s="233"/>
      <c r="AF112" s="233"/>
      <c r="AG112" s="233"/>
      <c r="AH112" s="233"/>
      <c r="AI112" s="233"/>
    </row>
    <row r="113" spans="1:30" ht="12.75">
      <c r="A113" s="141"/>
      <c r="B113" s="125" t="s">
        <v>43</v>
      </c>
      <c r="C113" s="126"/>
      <c r="D113" s="126"/>
      <c r="E113" s="126"/>
      <c r="F113" s="161"/>
      <c r="G113" s="165">
        <f>G111-G112</f>
        <v>0</v>
      </c>
      <c r="H113" s="163"/>
      <c r="I113" s="163"/>
      <c r="J113" s="164"/>
      <c r="K113" s="162">
        <f>K111-K112</f>
        <v>0</v>
      </c>
      <c r="L113" s="163"/>
      <c r="M113" s="163"/>
      <c r="N113" s="164"/>
      <c r="O113" s="275">
        <f>O111-O112</f>
        <v>0</v>
      </c>
      <c r="P113" s="276"/>
      <c r="Q113" s="276"/>
      <c r="R113" s="277"/>
      <c r="S113" s="275">
        <v>0</v>
      </c>
      <c r="T113" s="276"/>
      <c r="U113" s="276"/>
      <c r="V113" s="277"/>
      <c r="W113" s="153">
        <f t="shared" si="7"/>
        <v>0</v>
      </c>
      <c r="X113" s="154"/>
      <c r="Y113" s="154"/>
      <c r="Z113" s="155"/>
      <c r="AA113" s="280">
        <f>IF(G107&lt;10,($L$2+0.005*G107),($L$2+0.05+(G107-10)*0.015))</f>
        <v>0.6</v>
      </c>
      <c r="AB113" s="281"/>
      <c r="AC113" s="280">
        <f>IF(K107&lt;10,($L$2+0.005*K107),($L$2+0.05+(K107-10)*0.015))</f>
        <v>0.6</v>
      </c>
      <c r="AD113" s="281"/>
    </row>
    <row r="114" spans="1:26" ht="12.75">
      <c r="A114" s="141"/>
      <c r="B114" s="125" t="s">
        <v>30</v>
      </c>
      <c r="C114" s="126"/>
      <c r="D114" s="126"/>
      <c r="E114" s="126"/>
      <c r="F114" s="161"/>
      <c r="G114" s="156">
        <f>G106/100*AA113</f>
        <v>59.75999999999999</v>
      </c>
      <c r="H114" s="157"/>
      <c r="I114" s="157"/>
      <c r="J114" s="158"/>
      <c r="K114" s="160">
        <f>K106/100*AC113</f>
        <v>24</v>
      </c>
      <c r="L114" s="157"/>
      <c r="M114" s="157"/>
      <c r="N114" s="158"/>
      <c r="O114" s="246">
        <f>O106/100*$L$2</f>
        <v>0</v>
      </c>
      <c r="P114" s="247"/>
      <c r="Q114" s="247"/>
      <c r="R114" s="248"/>
      <c r="S114" s="246">
        <f>S106/100*$L$2</f>
        <v>0</v>
      </c>
      <c r="T114" s="247"/>
      <c r="U114" s="247"/>
      <c r="V114" s="248"/>
      <c r="W114" s="153">
        <f t="shared" si="7"/>
        <v>83.75999999999999</v>
      </c>
      <c r="X114" s="154"/>
      <c r="Y114" s="154"/>
      <c r="Z114" s="155"/>
    </row>
    <row r="115" spans="1:26" ht="12.75">
      <c r="A115" s="141"/>
      <c r="B115" s="125" t="s">
        <v>44</v>
      </c>
      <c r="C115" s="126"/>
      <c r="D115" s="126"/>
      <c r="E115" s="126"/>
      <c r="F115" s="161"/>
      <c r="G115" s="156">
        <f>G114-G111-G110</f>
        <v>7.999999999999993</v>
      </c>
      <c r="H115" s="157"/>
      <c r="I115" s="157"/>
      <c r="J115" s="158"/>
      <c r="K115" s="160">
        <f>K114-K111-K110</f>
        <v>-12.899999999999999</v>
      </c>
      <c r="L115" s="157"/>
      <c r="M115" s="157"/>
      <c r="N115" s="158"/>
      <c r="O115" s="246">
        <f>O114-O111-O110</f>
        <v>0</v>
      </c>
      <c r="P115" s="247"/>
      <c r="Q115" s="247"/>
      <c r="R115" s="248"/>
      <c r="S115" s="246">
        <f>S114-S111-S110</f>
        <v>0</v>
      </c>
      <c r="T115" s="247"/>
      <c r="U115" s="247"/>
      <c r="V115" s="248"/>
      <c r="W115" s="153">
        <f t="shared" si="7"/>
        <v>-4.900000000000006</v>
      </c>
      <c r="X115" s="154"/>
      <c r="Y115" s="154"/>
      <c r="Z115" s="155"/>
    </row>
    <row r="116" spans="1:26" ht="12.75">
      <c r="A116" s="141"/>
      <c r="B116" s="125" t="s">
        <v>45</v>
      </c>
      <c r="C116" s="126"/>
      <c r="D116" s="126"/>
      <c r="E116" s="126"/>
      <c r="F116" s="161"/>
      <c r="G116" s="156">
        <f>G115+G113</f>
        <v>7.999999999999993</v>
      </c>
      <c r="H116" s="157"/>
      <c r="I116" s="157"/>
      <c r="J116" s="158"/>
      <c r="K116" s="160">
        <f>K115+K113</f>
        <v>-12.899999999999999</v>
      </c>
      <c r="L116" s="157"/>
      <c r="M116" s="157"/>
      <c r="N116" s="158"/>
      <c r="O116" s="246">
        <f>O115+O113</f>
        <v>0</v>
      </c>
      <c r="P116" s="247"/>
      <c r="Q116" s="247"/>
      <c r="R116" s="248"/>
      <c r="S116" s="246">
        <f>S115+S113</f>
        <v>0</v>
      </c>
      <c r="T116" s="247"/>
      <c r="U116" s="247"/>
      <c r="V116" s="248"/>
      <c r="W116" s="153">
        <f t="shared" si="7"/>
        <v>-4.900000000000006</v>
      </c>
      <c r="X116" s="154"/>
      <c r="Y116" s="154"/>
      <c r="Z116" s="155"/>
    </row>
    <row r="117" spans="1:26" ht="12.75">
      <c r="A117" s="141"/>
      <c r="B117" s="194" t="s">
        <v>26</v>
      </c>
      <c r="C117" s="98"/>
      <c r="D117" s="98"/>
      <c r="E117" s="98"/>
      <c r="F117" s="195"/>
      <c r="G117" s="196">
        <f>$AG108/100*$AL$3</f>
        <v>-0.9800000000000011</v>
      </c>
      <c r="H117" s="197"/>
      <c r="I117" s="197"/>
      <c r="J117" s="198"/>
      <c r="K117" s="196">
        <f>$AG108/100*$AL$4</f>
        <v>-0.9800000000000011</v>
      </c>
      <c r="L117" s="197"/>
      <c r="M117" s="197"/>
      <c r="N117" s="198"/>
      <c r="O117" s="196">
        <v>0</v>
      </c>
      <c r="P117" s="197"/>
      <c r="Q117" s="197"/>
      <c r="R117" s="198"/>
      <c r="S117" s="196">
        <v>0</v>
      </c>
      <c r="T117" s="197"/>
      <c r="U117" s="197"/>
      <c r="V117" s="198"/>
      <c r="W117" s="153">
        <f t="shared" si="7"/>
        <v>-1.9600000000000022</v>
      </c>
      <c r="X117" s="154"/>
      <c r="Y117" s="154"/>
      <c r="Z117" s="155"/>
    </row>
    <row r="118" spans="1:26" ht="12.75" customHeight="1" thickBot="1">
      <c r="A118" s="142"/>
      <c r="B118" s="191" t="s">
        <v>28</v>
      </c>
      <c r="C118" s="192"/>
      <c r="D118" s="192"/>
      <c r="E118" s="192"/>
      <c r="F118" s="193"/>
      <c r="G118" s="149">
        <f>IF(G117&lt;0,G110,G110+G117)</f>
        <v>34.86</v>
      </c>
      <c r="H118" s="147"/>
      <c r="I118" s="147"/>
      <c r="J118" s="148"/>
      <c r="K118" s="146">
        <f>IF(K117&lt;0,K110,K110+K117)</f>
        <v>20</v>
      </c>
      <c r="L118" s="147"/>
      <c r="M118" s="147"/>
      <c r="N118" s="148"/>
      <c r="O118" s="255">
        <f>IF(O117&lt;0,O110,O110+O117)</f>
        <v>0</v>
      </c>
      <c r="P118" s="256"/>
      <c r="Q118" s="256"/>
      <c r="R118" s="257"/>
      <c r="S118" s="255">
        <f>IF(S117&lt;0,S110,S110+S117)</f>
        <v>0</v>
      </c>
      <c r="T118" s="256"/>
      <c r="U118" s="256"/>
      <c r="V118" s="257"/>
      <c r="W118" s="150">
        <f t="shared" si="7"/>
        <v>54.86</v>
      </c>
      <c r="X118" s="151"/>
      <c r="Y118" s="151"/>
      <c r="Z118" s="152"/>
    </row>
    <row r="119" spans="1:35" ht="12.75">
      <c r="A119" s="143" t="s">
        <v>69</v>
      </c>
      <c r="B119" s="93" t="s">
        <v>23</v>
      </c>
      <c r="C119" s="94"/>
      <c r="D119" s="94"/>
      <c r="E119" s="94"/>
      <c r="F119" s="199"/>
      <c r="G119" s="185">
        <v>10000</v>
      </c>
      <c r="H119" s="183"/>
      <c r="I119" s="183"/>
      <c r="J119" s="184"/>
      <c r="K119" s="185">
        <v>4360</v>
      </c>
      <c r="L119" s="183"/>
      <c r="M119" s="183"/>
      <c r="N119" s="184"/>
      <c r="O119" s="242">
        <v>0</v>
      </c>
      <c r="P119" s="243"/>
      <c r="Q119" s="243"/>
      <c r="R119" s="244"/>
      <c r="S119" s="242">
        <v>0</v>
      </c>
      <c r="T119" s="243"/>
      <c r="U119" s="243"/>
      <c r="V119" s="244"/>
      <c r="W119" s="170">
        <f>G119+K119+O119+S119</f>
        <v>14360</v>
      </c>
      <c r="X119" s="171"/>
      <c r="Y119" s="171"/>
      <c r="Z119" s="172"/>
      <c r="AA119" s="236" t="s">
        <v>53</v>
      </c>
      <c r="AB119" s="94"/>
      <c r="AC119" s="94"/>
      <c r="AD119" s="94"/>
      <c r="AE119" s="94"/>
      <c r="AF119" s="94"/>
      <c r="AG119" s="269">
        <v>0</v>
      </c>
      <c r="AH119" s="270"/>
      <c r="AI119" s="271"/>
    </row>
    <row r="120" spans="1:35" ht="12.75">
      <c r="A120" s="144"/>
      <c r="B120" s="125" t="s">
        <v>24</v>
      </c>
      <c r="C120" s="126"/>
      <c r="D120" s="126"/>
      <c r="E120" s="126"/>
      <c r="F120" s="161"/>
      <c r="G120" s="239">
        <v>10000</v>
      </c>
      <c r="H120" s="240"/>
      <c r="I120" s="240"/>
      <c r="J120" s="241"/>
      <c r="K120" s="239">
        <v>4360</v>
      </c>
      <c r="L120" s="240"/>
      <c r="M120" s="240"/>
      <c r="N120" s="241"/>
      <c r="O120" s="239">
        <v>0</v>
      </c>
      <c r="P120" s="240"/>
      <c r="Q120" s="240"/>
      <c r="R120" s="241"/>
      <c r="S120" s="239">
        <v>0</v>
      </c>
      <c r="T120" s="240"/>
      <c r="U120" s="240"/>
      <c r="V120" s="241"/>
      <c r="W120" s="153">
        <f>G120+K120+O120+S120</f>
        <v>14360</v>
      </c>
      <c r="X120" s="154"/>
      <c r="Y120" s="154"/>
      <c r="Z120" s="155"/>
      <c r="AA120" s="205" t="s">
        <v>54</v>
      </c>
      <c r="AB120" s="126"/>
      <c r="AC120" s="126"/>
      <c r="AD120" s="126"/>
      <c r="AE120" s="126"/>
      <c r="AF120" s="126"/>
      <c r="AG120" s="278">
        <v>0</v>
      </c>
      <c r="AH120" s="278"/>
      <c r="AI120" s="279"/>
    </row>
    <row r="121" spans="1:35" ht="12.75">
      <c r="A121" s="144"/>
      <c r="B121" s="237" t="s">
        <v>130</v>
      </c>
      <c r="C121" s="204"/>
      <c r="D121" s="204"/>
      <c r="E121" s="204"/>
      <c r="F121" s="259"/>
      <c r="G121" s="249">
        <v>0</v>
      </c>
      <c r="H121" s="250"/>
      <c r="I121" s="250"/>
      <c r="J121" s="251"/>
      <c r="K121" s="252">
        <v>0</v>
      </c>
      <c r="L121" s="253"/>
      <c r="M121" s="253"/>
      <c r="N121" s="254"/>
      <c r="O121" s="252">
        <v>0</v>
      </c>
      <c r="P121" s="253"/>
      <c r="Q121" s="253"/>
      <c r="R121" s="254"/>
      <c r="S121" s="252">
        <v>0</v>
      </c>
      <c r="T121" s="253"/>
      <c r="U121" s="253"/>
      <c r="V121" s="254"/>
      <c r="W121" s="260">
        <f>(G121*G120+K121*K120+O121*O120+S121*S120)/W120</f>
        <v>0</v>
      </c>
      <c r="X121" s="261"/>
      <c r="Y121" s="261"/>
      <c r="Z121" s="262"/>
      <c r="AA121" s="205" t="s">
        <v>55</v>
      </c>
      <c r="AB121" s="126"/>
      <c r="AC121" s="126"/>
      <c r="AD121" s="126"/>
      <c r="AE121" s="126"/>
      <c r="AF121" s="126"/>
      <c r="AG121" s="134">
        <f>AG120</f>
        <v>0</v>
      </c>
      <c r="AH121" s="134"/>
      <c r="AI121" s="135"/>
    </row>
    <row r="122" spans="1:35" ht="12.75">
      <c r="A122" s="144"/>
      <c r="B122" s="125" t="s">
        <v>29</v>
      </c>
      <c r="C122" s="126"/>
      <c r="D122" s="126"/>
      <c r="E122" s="126"/>
      <c r="F122" s="161"/>
      <c r="G122" s="246">
        <f>IF(G121&lt;=10,(G121*0.005+0.35)*G120/100,((G121-10)*0.015+0.4)*G120/100)</f>
        <v>35</v>
      </c>
      <c r="H122" s="247"/>
      <c r="I122" s="247"/>
      <c r="J122" s="248"/>
      <c r="K122" s="246">
        <f>IF(K121&lt;=10,(K121*0.005+0.35)*K120/100,((K121-10)*0.015+0.4)*K120/100)</f>
        <v>15.26</v>
      </c>
      <c r="L122" s="247"/>
      <c r="M122" s="247"/>
      <c r="N122" s="248"/>
      <c r="O122" s="246">
        <f>IF(O121&lt;=10,(O121*0.005+0.35)*O120/100,((O121-10)*0.015+0.4)*O120/100)</f>
        <v>0</v>
      </c>
      <c r="P122" s="247"/>
      <c r="Q122" s="247"/>
      <c r="R122" s="248"/>
      <c r="S122" s="246">
        <f>IF(S121&lt;=10,(S121*0.005+0.35)*S120/100,((S121-10)*0.015+0.4)*S120/100)</f>
        <v>0</v>
      </c>
      <c r="T122" s="247"/>
      <c r="U122" s="247"/>
      <c r="V122" s="248"/>
      <c r="W122" s="153">
        <f aca="true" t="shared" si="8" ref="W122:W132">G122+K122+O122+S122</f>
        <v>50.26</v>
      </c>
      <c r="X122" s="154"/>
      <c r="Y122" s="154"/>
      <c r="Z122" s="155"/>
      <c r="AA122" s="205" t="s">
        <v>56</v>
      </c>
      <c r="AB122" s="126"/>
      <c r="AC122" s="126"/>
      <c r="AD122" s="126"/>
      <c r="AE122" s="126"/>
      <c r="AF122" s="126"/>
      <c r="AG122" s="134">
        <f>W130+AG121</f>
        <v>-2.639999999999997</v>
      </c>
      <c r="AH122" s="134"/>
      <c r="AI122" s="135"/>
    </row>
    <row r="123" spans="1:35" ht="13.5" thickBot="1">
      <c r="A123" s="144"/>
      <c r="B123" s="125" t="s">
        <v>10</v>
      </c>
      <c r="C123" s="126"/>
      <c r="D123" s="126"/>
      <c r="E123" s="126"/>
      <c r="F123" s="161"/>
      <c r="G123" s="169">
        <v>30</v>
      </c>
      <c r="H123" s="167"/>
      <c r="I123" s="167"/>
      <c r="J123" s="168"/>
      <c r="K123" s="166">
        <v>20</v>
      </c>
      <c r="L123" s="167"/>
      <c r="M123" s="167"/>
      <c r="N123" s="168"/>
      <c r="O123" s="239">
        <v>0</v>
      </c>
      <c r="P123" s="240"/>
      <c r="Q123" s="240"/>
      <c r="R123" s="241"/>
      <c r="S123" s="239">
        <v>0</v>
      </c>
      <c r="T123" s="240"/>
      <c r="U123" s="240"/>
      <c r="V123" s="241"/>
      <c r="W123" s="153">
        <f t="shared" si="8"/>
        <v>50</v>
      </c>
      <c r="X123" s="154"/>
      <c r="Y123" s="154"/>
      <c r="Z123" s="155"/>
      <c r="AA123" s="232" t="s">
        <v>57</v>
      </c>
      <c r="AB123" s="90"/>
      <c r="AC123" s="90"/>
      <c r="AD123" s="90"/>
      <c r="AE123" s="90"/>
      <c r="AF123" s="90"/>
      <c r="AG123" s="91">
        <f>-AG121+AG122-W131</f>
        <v>-1.5839999999999983</v>
      </c>
      <c r="AH123" s="91"/>
      <c r="AI123" s="85"/>
    </row>
    <row r="124" spans="1:35" ht="13.5" thickBot="1">
      <c r="A124" s="144"/>
      <c r="B124" s="125" t="s">
        <v>58</v>
      </c>
      <c r="C124" s="126"/>
      <c r="D124" s="126"/>
      <c r="E124" s="126"/>
      <c r="F124" s="161"/>
      <c r="G124" s="156">
        <f>IF(G122&lt;G123,G123,G122)</f>
        <v>35</v>
      </c>
      <c r="H124" s="157"/>
      <c r="I124" s="157"/>
      <c r="J124" s="158"/>
      <c r="K124" s="160">
        <f>IF(K122&lt;K123,K123,K122)</f>
        <v>20</v>
      </c>
      <c r="L124" s="157"/>
      <c r="M124" s="157"/>
      <c r="N124" s="158"/>
      <c r="O124" s="246">
        <f>IF(O122&lt;O123,O123,O122)</f>
        <v>0</v>
      </c>
      <c r="P124" s="247"/>
      <c r="Q124" s="247"/>
      <c r="R124" s="248"/>
      <c r="S124" s="246">
        <f>IF(S122&lt;S123,S123,S122)</f>
        <v>0</v>
      </c>
      <c r="T124" s="247"/>
      <c r="U124" s="247"/>
      <c r="V124" s="248"/>
      <c r="W124" s="153">
        <f t="shared" si="8"/>
        <v>55</v>
      </c>
      <c r="X124" s="154"/>
      <c r="Y124" s="154"/>
      <c r="Z124" s="155"/>
      <c r="AA124" s="230" t="s">
        <v>59</v>
      </c>
      <c r="AB124" s="231"/>
      <c r="AC124" s="231"/>
      <c r="AD124" s="231"/>
      <c r="AE124" s="231"/>
      <c r="AF124" s="231"/>
      <c r="AG124" s="266">
        <f>AG120+AG123</f>
        <v>-1.5839999999999983</v>
      </c>
      <c r="AH124" s="267"/>
      <c r="AI124" s="268"/>
    </row>
    <row r="125" spans="1:35" ht="12.75">
      <c r="A125" s="144"/>
      <c r="B125" s="125" t="s">
        <v>41</v>
      </c>
      <c r="C125" s="126"/>
      <c r="D125" s="126"/>
      <c r="E125" s="126"/>
      <c r="F125" s="161"/>
      <c r="G125" s="156">
        <v>16.9</v>
      </c>
      <c r="H125" s="157"/>
      <c r="I125" s="157"/>
      <c r="J125" s="158"/>
      <c r="K125" s="156">
        <v>16.9</v>
      </c>
      <c r="L125" s="157"/>
      <c r="M125" s="157"/>
      <c r="N125" s="158"/>
      <c r="O125" s="246">
        <v>0</v>
      </c>
      <c r="P125" s="247"/>
      <c r="Q125" s="247"/>
      <c r="R125" s="248"/>
      <c r="S125" s="246">
        <v>0</v>
      </c>
      <c r="T125" s="247"/>
      <c r="U125" s="247"/>
      <c r="V125" s="248"/>
      <c r="W125" s="153">
        <f t="shared" si="8"/>
        <v>33.8</v>
      </c>
      <c r="X125" s="154"/>
      <c r="Y125" s="154"/>
      <c r="Z125" s="155"/>
      <c r="AA125" s="136">
        <f>(W125+W124)/W120*100-$L$2</f>
        <v>0.01838440111420614</v>
      </c>
      <c r="AB125" s="136"/>
      <c r="AC125" s="136"/>
      <c r="AD125" s="136"/>
      <c r="AE125" s="136"/>
      <c r="AF125" s="136"/>
      <c r="AG125" s="136"/>
      <c r="AH125" s="136"/>
      <c r="AI125" s="136"/>
    </row>
    <row r="126" spans="1:35" ht="12.75">
      <c r="A126" s="144"/>
      <c r="B126" s="125" t="s">
        <v>42</v>
      </c>
      <c r="C126" s="126"/>
      <c r="D126" s="126"/>
      <c r="E126" s="126"/>
      <c r="F126" s="161"/>
      <c r="G126" s="169">
        <v>16.9</v>
      </c>
      <c r="H126" s="167"/>
      <c r="I126" s="167"/>
      <c r="J126" s="168"/>
      <c r="K126" s="169">
        <v>16.9</v>
      </c>
      <c r="L126" s="167"/>
      <c r="M126" s="167"/>
      <c r="N126" s="168"/>
      <c r="O126" s="239">
        <v>0</v>
      </c>
      <c r="P126" s="240"/>
      <c r="Q126" s="240"/>
      <c r="R126" s="241"/>
      <c r="S126" s="239">
        <v>0</v>
      </c>
      <c r="T126" s="240"/>
      <c r="U126" s="240"/>
      <c r="V126" s="241"/>
      <c r="W126" s="153">
        <f t="shared" si="8"/>
        <v>33.8</v>
      </c>
      <c r="X126" s="154"/>
      <c r="Y126" s="154"/>
      <c r="Z126" s="155"/>
      <c r="AA126" s="132">
        <f>AG119*W119/100</f>
        <v>0</v>
      </c>
      <c r="AB126" s="233"/>
      <c r="AC126" s="233"/>
      <c r="AD126" s="233"/>
      <c r="AE126" s="233"/>
      <c r="AF126" s="233"/>
      <c r="AG126" s="233"/>
      <c r="AH126" s="233"/>
      <c r="AI126" s="233"/>
    </row>
    <row r="127" spans="1:30" ht="12.75">
      <c r="A127" s="144"/>
      <c r="B127" s="125" t="s">
        <v>43</v>
      </c>
      <c r="C127" s="126"/>
      <c r="D127" s="126"/>
      <c r="E127" s="126"/>
      <c r="F127" s="161"/>
      <c r="G127" s="165">
        <f>G125-G126</f>
        <v>0</v>
      </c>
      <c r="H127" s="163"/>
      <c r="I127" s="163"/>
      <c r="J127" s="164"/>
      <c r="K127" s="162">
        <f>K125-K126</f>
        <v>0</v>
      </c>
      <c r="L127" s="163"/>
      <c r="M127" s="163"/>
      <c r="N127" s="164"/>
      <c r="O127" s="275">
        <f>O125-O126</f>
        <v>0</v>
      </c>
      <c r="P127" s="276"/>
      <c r="Q127" s="276"/>
      <c r="R127" s="277"/>
      <c r="S127" s="275">
        <v>0</v>
      </c>
      <c r="T127" s="276"/>
      <c r="U127" s="276"/>
      <c r="V127" s="277"/>
      <c r="W127" s="153">
        <f t="shared" si="8"/>
        <v>0</v>
      </c>
      <c r="X127" s="154"/>
      <c r="Y127" s="154"/>
      <c r="Z127" s="155"/>
      <c r="AA127" s="280">
        <f>IF(G121&lt;10,($L$2+0.005*G121),($L$2+0.05+(G121-10)*0.015))</f>
        <v>0.6</v>
      </c>
      <c r="AB127" s="281"/>
      <c r="AC127" s="280">
        <f>IF(K121&lt;10,($L$2+0.005*K121),($L$2+0.05+(K121-10)*0.015))</f>
        <v>0.6</v>
      </c>
      <c r="AD127" s="281"/>
    </row>
    <row r="128" spans="1:26" ht="12.75">
      <c r="A128" s="144"/>
      <c r="B128" s="125" t="s">
        <v>30</v>
      </c>
      <c r="C128" s="126"/>
      <c r="D128" s="126"/>
      <c r="E128" s="126"/>
      <c r="F128" s="161"/>
      <c r="G128" s="156">
        <f>G120/100*AA127</f>
        <v>60</v>
      </c>
      <c r="H128" s="157"/>
      <c r="I128" s="157"/>
      <c r="J128" s="158"/>
      <c r="K128" s="160">
        <f>K120/100*AC127</f>
        <v>26.16</v>
      </c>
      <c r="L128" s="157"/>
      <c r="M128" s="157"/>
      <c r="N128" s="158"/>
      <c r="O128" s="246">
        <f>O120/100*$L$2</f>
        <v>0</v>
      </c>
      <c r="P128" s="247"/>
      <c r="Q128" s="247"/>
      <c r="R128" s="248"/>
      <c r="S128" s="246">
        <f>S120/100*$L$2</f>
        <v>0</v>
      </c>
      <c r="T128" s="247"/>
      <c r="U128" s="247"/>
      <c r="V128" s="248"/>
      <c r="W128" s="153">
        <f t="shared" si="8"/>
        <v>86.16</v>
      </c>
      <c r="X128" s="154"/>
      <c r="Y128" s="154"/>
      <c r="Z128" s="155"/>
    </row>
    <row r="129" spans="1:26" ht="12.75">
      <c r="A129" s="144"/>
      <c r="B129" s="125" t="s">
        <v>44</v>
      </c>
      <c r="C129" s="126"/>
      <c r="D129" s="126"/>
      <c r="E129" s="126"/>
      <c r="F129" s="161"/>
      <c r="G129" s="156">
        <f>G128-G125-G124</f>
        <v>8.100000000000001</v>
      </c>
      <c r="H129" s="157"/>
      <c r="I129" s="157"/>
      <c r="J129" s="158"/>
      <c r="K129" s="160">
        <f>K128-K125-K124</f>
        <v>-10.739999999999998</v>
      </c>
      <c r="L129" s="157"/>
      <c r="M129" s="157"/>
      <c r="N129" s="158"/>
      <c r="O129" s="246">
        <f>O128-O125-O124</f>
        <v>0</v>
      </c>
      <c r="P129" s="247"/>
      <c r="Q129" s="247"/>
      <c r="R129" s="248"/>
      <c r="S129" s="246">
        <f>S128-S125-S124</f>
        <v>0</v>
      </c>
      <c r="T129" s="247"/>
      <c r="U129" s="247"/>
      <c r="V129" s="248"/>
      <c r="W129" s="153">
        <f t="shared" si="8"/>
        <v>-2.639999999999997</v>
      </c>
      <c r="X129" s="154"/>
      <c r="Y129" s="154"/>
      <c r="Z129" s="155"/>
    </row>
    <row r="130" spans="1:26" ht="12.75">
      <c r="A130" s="144"/>
      <c r="B130" s="125" t="s">
        <v>45</v>
      </c>
      <c r="C130" s="126"/>
      <c r="D130" s="126"/>
      <c r="E130" s="126"/>
      <c r="F130" s="161"/>
      <c r="G130" s="156">
        <f>G129+G127</f>
        <v>8.100000000000001</v>
      </c>
      <c r="H130" s="157"/>
      <c r="I130" s="157"/>
      <c r="J130" s="158"/>
      <c r="K130" s="160">
        <f>K129+K127</f>
        <v>-10.739999999999998</v>
      </c>
      <c r="L130" s="157"/>
      <c r="M130" s="157"/>
      <c r="N130" s="158"/>
      <c r="O130" s="246">
        <f>O129+O127</f>
        <v>0</v>
      </c>
      <c r="P130" s="247"/>
      <c r="Q130" s="247"/>
      <c r="R130" s="248"/>
      <c r="S130" s="246">
        <f>S129+S127</f>
        <v>0</v>
      </c>
      <c r="T130" s="247"/>
      <c r="U130" s="247"/>
      <c r="V130" s="248"/>
      <c r="W130" s="153">
        <f t="shared" si="8"/>
        <v>-2.639999999999997</v>
      </c>
      <c r="X130" s="154"/>
      <c r="Y130" s="154"/>
      <c r="Z130" s="155"/>
    </row>
    <row r="131" spans="1:26" ht="12.75">
      <c r="A131" s="144"/>
      <c r="B131" s="194" t="s">
        <v>26</v>
      </c>
      <c r="C131" s="98"/>
      <c r="D131" s="98"/>
      <c r="E131" s="98"/>
      <c r="F131" s="195"/>
      <c r="G131" s="196">
        <f>$AG122/100*$AL$3</f>
        <v>-0.5279999999999994</v>
      </c>
      <c r="H131" s="197"/>
      <c r="I131" s="197"/>
      <c r="J131" s="198"/>
      <c r="K131" s="196">
        <f>$AG122/100*$AL$4</f>
        <v>-0.5279999999999994</v>
      </c>
      <c r="L131" s="197"/>
      <c r="M131" s="197"/>
      <c r="N131" s="198"/>
      <c r="O131" s="196">
        <v>0</v>
      </c>
      <c r="P131" s="197"/>
      <c r="Q131" s="197"/>
      <c r="R131" s="198"/>
      <c r="S131" s="196">
        <v>0</v>
      </c>
      <c r="T131" s="197"/>
      <c r="U131" s="197"/>
      <c r="V131" s="198"/>
      <c r="W131" s="153">
        <f t="shared" si="8"/>
        <v>-1.0559999999999987</v>
      </c>
      <c r="X131" s="154"/>
      <c r="Y131" s="154"/>
      <c r="Z131" s="155"/>
    </row>
    <row r="132" spans="1:26" ht="12.75" customHeight="1" thickBot="1">
      <c r="A132" s="144"/>
      <c r="B132" s="191" t="s">
        <v>28</v>
      </c>
      <c r="C132" s="192"/>
      <c r="D132" s="192"/>
      <c r="E132" s="192"/>
      <c r="F132" s="193"/>
      <c r="G132" s="149">
        <f>IF(G131&lt;0,G124,G124+G131)</f>
        <v>35</v>
      </c>
      <c r="H132" s="147"/>
      <c r="I132" s="147"/>
      <c r="J132" s="148"/>
      <c r="K132" s="146">
        <f>IF(K131&lt;0,K124,K124+K131)</f>
        <v>20</v>
      </c>
      <c r="L132" s="147"/>
      <c r="M132" s="147"/>
      <c r="N132" s="148"/>
      <c r="O132" s="255">
        <f>IF(O131&lt;0,O124,O124+O131)</f>
        <v>0</v>
      </c>
      <c r="P132" s="256"/>
      <c r="Q132" s="256"/>
      <c r="R132" s="257"/>
      <c r="S132" s="255">
        <f>IF(S131&lt;0,S124,S124+S131)</f>
        <v>0</v>
      </c>
      <c r="T132" s="256"/>
      <c r="U132" s="256"/>
      <c r="V132" s="257"/>
      <c r="W132" s="150">
        <f t="shared" si="8"/>
        <v>55</v>
      </c>
      <c r="X132" s="151"/>
      <c r="Y132" s="151"/>
      <c r="Z132" s="152"/>
    </row>
    <row r="133" spans="1:35" ht="12.75">
      <c r="A133" s="143" t="s">
        <v>70</v>
      </c>
      <c r="B133" s="93" t="s">
        <v>23</v>
      </c>
      <c r="C133" s="94"/>
      <c r="D133" s="94"/>
      <c r="E133" s="94"/>
      <c r="F133" s="199"/>
      <c r="G133" s="185">
        <v>10000</v>
      </c>
      <c r="H133" s="183"/>
      <c r="I133" s="183"/>
      <c r="J133" s="184"/>
      <c r="K133" s="185">
        <v>4560</v>
      </c>
      <c r="L133" s="183"/>
      <c r="M133" s="183"/>
      <c r="N133" s="184"/>
      <c r="O133" s="242">
        <v>0</v>
      </c>
      <c r="P133" s="243"/>
      <c r="Q133" s="243"/>
      <c r="R133" s="244"/>
      <c r="S133" s="242">
        <v>0</v>
      </c>
      <c r="T133" s="243"/>
      <c r="U133" s="243"/>
      <c r="V133" s="244"/>
      <c r="W133" s="170">
        <f>G133+K133+O133+S133</f>
        <v>14560</v>
      </c>
      <c r="X133" s="171"/>
      <c r="Y133" s="171"/>
      <c r="Z133" s="172"/>
      <c r="AA133" s="236" t="s">
        <v>53</v>
      </c>
      <c r="AB133" s="94"/>
      <c r="AC133" s="94"/>
      <c r="AD133" s="94"/>
      <c r="AE133" s="94"/>
      <c r="AF133" s="94"/>
      <c r="AG133" s="269">
        <v>0</v>
      </c>
      <c r="AH133" s="270"/>
      <c r="AI133" s="271"/>
    </row>
    <row r="134" spans="1:35" ht="12.75">
      <c r="A134" s="144"/>
      <c r="B134" s="125" t="s">
        <v>24</v>
      </c>
      <c r="C134" s="126"/>
      <c r="D134" s="126"/>
      <c r="E134" s="126"/>
      <c r="F134" s="161"/>
      <c r="G134" s="239">
        <v>10000</v>
      </c>
      <c r="H134" s="240"/>
      <c r="I134" s="240"/>
      <c r="J134" s="241"/>
      <c r="K134" s="239">
        <v>4560</v>
      </c>
      <c r="L134" s="240"/>
      <c r="M134" s="240"/>
      <c r="N134" s="241"/>
      <c r="O134" s="239">
        <v>0</v>
      </c>
      <c r="P134" s="240"/>
      <c r="Q134" s="240"/>
      <c r="R134" s="241"/>
      <c r="S134" s="239">
        <v>0</v>
      </c>
      <c r="T134" s="240"/>
      <c r="U134" s="240"/>
      <c r="V134" s="241"/>
      <c r="W134" s="153">
        <f>G134+K134+O134+S134</f>
        <v>14560</v>
      </c>
      <c r="X134" s="154"/>
      <c r="Y134" s="154"/>
      <c r="Z134" s="155"/>
      <c r="AA134" s="205" t="s">
        <v>54</v>
      </c>
      <c r="AB134" s="126"/>
      <c r="AC134" s="126"/>
      <c r="AD134" s="126"/>
      <c r="AE134" s="126"/>
      <c r="AF134" s="126"/>
      <c r="AG134" s="278">
        <v>0</v>
      </c>
      <c r="AH134" s="278"/>
      <c r="AI134" s="279"/>
    </row>
    <row r="135" spans="1:35" ht="12.75">
      <c r="A135" s="144"/>
      <c r="B135" s="237" t="s">
        <v>130</v>
      </c>
      <c r="C135" s="204"/>
      <c r="D135" s="204"/>
      <c r="E135" s="204"/>
      <c r="F135" s="259"/>
      <c r="G135" s="249">
        <v>0</v>
      </c>
      <c r="H135" s="250"/>
      <c r="I135" s="250"/>
      <c r="J135" s="251"/>
      <c r="K135" s="252">
        <v>0</v>
      </c>
      <c r="L135" s="253"/>
      <c r="M135" s="253"/>
      <c r="N135" s="254"/>
      <c r="O135" s="252">
        <v>0</v>
      </c>
      <c r="P135" s="253"/>
      <c r="Q135" s="253"/>
      <c r="R135" s="254"/>
      <c r="S135" s="252">
        <v>0</v>
      </c>
      <c r="T135" s="253"/>
      <c r="U135" s="253"/>
      <c r="V135" s="254"/>
      <c r="W135" s="260">
        <f>(G135*G134+K135*K134+O135*O134+S135*S134)/W134</f>
        <v>0</v>
      </c>
      <c r="X135" s="261"/>
      <c r="Y135" s="261"/>
      <c r="Z135" s="262"/>
      <c r="AA135" s="205" t="s">
        <v>55</v>
      </c>
      <c r="AB135" s="126"/>
      <c r="AC135" s="126"/>
      <c r="AD135" s="126"/>
      <c r="AE135" s="126"/>
      <c r="AF135" s="126"/>
      <c r="AG135" s="134">
        <f>AG134</f>
        <v>0</v>
      </c>
      <c r="AH135" s="134"/>
      <c r="AI135" s="135"/>
    </row>
    <row r="136" spans="1:35" ht="12.75">
      <c r="A136" s="144"/>
      <c r="B136" s="125" t="s">
        <v>29</v>
      </c>
      <c r="C136" s="126"/>
      <c r="D136" s="126"/>
      <c r="E136" s="126"/>
      <c r="F136" s="161"/>
      <c r="G136" s="246">
        <f>IF(G135&lt;=10,(G135*0.005+0.35)*G134/100,((G135-10)*0.015+0.4)*G134/100)</f>
        <v>35</v>
      </c>
      <c r="H136" s="247"/>
      <c r="I136" s="247"/>
      <c r="J136" s="248"/>
      <c r="K136" s="246">
        <f>IF(K135&lt;=10,(K135*0.005+0.35)*K134/100,((K135-10)*0.015+0.4)*K134/100)</f>
        <v>15.96</v>
      </c>
      <c r="L136" s="247"/>
      <c r="M136" s="247"/>
      <c r="N136" s="248"/>
      <c r="O136" s="246">
        <f>IF(O135&lt;=10,(O135*0.005+0.35)*O134/100,((O135-10)*0.015+0.4)*O134/100)</f>
        <v>0</v>
      </c>
      <c r="P136" s="247"/>
      <c r="Q136" s="247"/>
      <c r="R136" s="248"/>
      <c r="S136" s="246">
        <f>IF(S135&lt;=10,(S135*0.005+0.35)*S134/100,((S135-10)*0.015+0.4)*S134/100)</f>
        <v>0</v>
      </c>
      <c r="T136" s="247"/>
      <c r="U136" s="247"/>
      <c r="V136" s="248"/>
      <c r="W136" s="153">
        <f aca="true" t="shared" si="9" ref="W136:W148">G136+K136+O136+S136</f>
        <v>50.96</v>
      </c>
      <c r="X136" s="154"/>
      <c r="Y136" s="154"/>
      <c r="Z136" s="155"/>
      <c r="AA136" s="205" t="s">
        <v>56</v>
      </c>
      <c r="AB136" s="126"/>
      <c r="AC136" s="126"/>
      <c r="AD136" s="126"/>
      <c r="AE136" s="126"/>
      <c r="AF136" s="126"/>
      <c r="AG136" s="134">
        <f>W144+AG135</f>
        <v>-1.4399999999999977</v>
      </c>
      <c r="AH136" s="134"/>
      <c r="AI136" s="135"/>
    </row>
    <row r="137" spans="1:35" ht="13.5" thickBot="1">
      <c r="A137" s="144"/>
      <c r="B137" s="125" t="s">
        <v>10</v>
      </c>
      <c r="C137" s="126"/>
      <c r="D137" s="126"/>
      <c r="E137" s="126"/>
      <c r="F137" s="161"/>
      <c r="G137" s="169">
        <v>30</v>
      </c>
      <c r="H137" s="167"/>
      <c r="I137" s="167"/>
      <c r="J137" s="168"/>
      <c r="K137" s="166">
        <v>20</v>
      </c>
      <c r="L137" s="167"/>
      <c r="M137" s="167"/>
      <c r="N137" s="168"/>
      <c r="O137" s="239">
        <v>0</v>
      </c>
      <c r="P137" s="240"/>
      <c r="Q137" s="240"/>
      <c r="R137" s="241"/>
      <c r="S137" s="239">
        <v>0</v>
      </c>
      <c r="T137" s="240"/>
      <c r="U137" s="240"/>
      <c r="V137" s="241"/>
      <c r="W137" s="153">
        <f t="shared" si="9"/>
        <v>50</v>
      </c>
      <c r="X137" s="154"/>
      <c r="Y137" s="154"/>
      <c r="Z137" s="155"/>
      <c r="AA137" s="232" t="s">
        <v>57</v>
      </c>
      <c r="AB137" s="90"/>
      <c r="AC137" s="90"/>
      <c r="AD137" s="90"/>
      <c r="AE137" s="90"/>
      <c r="AF137" s="90"/>
      <c r="AG137" s="91">
        <f>-AG135+AG136-W145</f>
        <v>-0.8639999999999987</v>
      </c>
      <c r="AH137" s="91"/>
      <c r="AI137" s="85"/>
    </row>
    <row r="138" spans="1:35" ht="13.5" thickBot="1">
      <c r="A138" s="144"/>
      <c r="B138" s="125" t="s">
        <v>58</v>
      </c>
      <c r="C138" s="126"/>
      <c r="D138" s="126"/>
      <c r="E138" s="126"/>
      <c r="F138" s="161"/>
      <c r="G138" s="156">
        <f>IF(G136&lt;G137,G137,G136)</f>
        <v>35</v>
      </c>
      <c r="H138" s="157"/>
      <c r="I138" s="157"/>
      <c r="J138" s="158"/>
      <c r="K138" s="160">
        <f>IF(K136&lt;K137,K137,K136)</f>
        <v>20</v>
      </c>
      <c r="L138" s="157"/>
      <c r="M138" s="157"/>
      <c r="N138" s="158"/>
      <c r="O138" s="246">
        <f>IF(O136&lt;O137,O137,O136)</f>
        <v>0</v>
      </c>
      <c r="P138" s="247"/>
      <c r="Q138" s="247"/>
      <c r="R138" s="248"/>
      <c r="S138" s="246">
        <f>IF(S136&lt;S137,S137,S136)</f>
        <v>0</v>
      </c>
      <c r="T138" s="247"/>
      <c r="U138" s="247"/>
      <c r="V138" s="248"/>
      <c r="W138" s="153">
        <f t="shared" si="9"/>
        <v>55</v>
      </c>
      <c r="X138" s="154"/>
      <c r="Y138" s="154"/>
      <c r="Z138" s="155"/>
      <c r="AA138" s="230" t="s">
        <v>59</v>
      </c>
      <c r="AB138" s="231"/>
      <c r="AC138" s="231"/>
      <c r="AD138" s="231"/>
      <c r="AE138" s="231"/>
      <c r="AF138" s="231"/>
      <c r="AG138" s="266">
        <f>AG134+AG137</f>
        <v>-0.8639999999999987</v>
      </c>
      <c r="AH138" s="267"/>
      <c r="AI138" s="268"/>
    </row>
    <row r="139" spans="1:35" ht="12.75">
      <c r="A139" s="144"/>
      <c r="B139" s="125" t="s">
        <v>41</v>
      </c>
      <c r="C139" s="126"/>
      <c r="D139" s="126"/>
      <c r="E139" s="126"/>
      <c r="F139" s="161"/>
      <c r="G139" s="156">
        <v>16.9</v>
      </c>
      <c r="H139" s="157"/>
      <c r="I139" s="157"/>
      <c r="J139" s="158"/>
      <c r="K139" s="156">
        <v>16.9</v>
      </c>
      <c r="L139" s="157"/>
      <c r="M139" s="157"/>
      <c r="N139" s="158"/>
      <c r="O139" s="246">
        <v>0</v>
      </c>
      <c r="P139" s="247"/>
      <c r="Q139" s="247"/>
      <c r="R139" s="248"/>
      <c r="S139" s="246">
        <v>0</v>
      </c>
      <c r="T139" s="247"/>
      <c r="U139" s="247"/>
      <c r="V139" s="248"/>
      <c r="W139" s="153">
        <f t="shared" si="9"/>
        <v>33.8</v>
      </c>
      <c r="X139" s="154"/>
      <c r="Y139" s="154"/>
      <c r="Z139" s="155"/>
      <c r="AA139" s="136">
        <f>(W139+W138)/W134*100-$L$2</f>
        <v>0.009890109890109855</v>
      </c>
      <c r="AB139" s="136"/>
      <c r="AC139" s="136"/>
      <c r="AD139" s="136"/>
      <c r="AE139" s="136"/>
      <c r="AF139" s="136"/>
      <c r="AG139" s="136"/>
      <c r="AH139" s="136"/>
      <c r="AI139" s="136"/>
    </row>
    <row r="140" spans="1:35" ht="12.75">
      <c r="A140" s="144"/>
      <c r="B140" s="125" t="s">
        <v>42</v>
      </c>
      <c r="C140" s="126"/>
      <c r="D140" s="126"/>
      <c r="E140" s="126"/>
      <c r="F140" s="161"/>
      <c r="G140" s="169">
        <v>16.9</v>
      </c>
      <c r="H140" s="167"/>
      <c r="I140" s="167"/>
      <c r="J140" s="168"/>
      <c r="K140" s="169">
        <v>16.9</v>
      </c>
      <c r="L140" s="167"/>
      <c r="M140" s="167"/>
      <c r="N140" s="168"/>
      <c r="O140" s="239">
        <v>0</v>
      </c>
      <c r="P140" s="240"/>
      <c r="Q140" s="240"/>
      <c r="R140" s="241"/>
      <c r="S140" s="239">
        <v>0</v>
      </c>
      <c r="T140" s="240"/>
      <c r="U140" s="240"/>
      <c r="V140" s="241"/>
      <c r="W140" s="153">
        <f t="shared" si="9"/>
        <v>33.8</v>
      </c>
      <c r="X140" s="154"/>
      <c r="Y140" s="154"/>
      <c r="Z140" s="155"/>
      <c r="AA140" s="132">
        <f>AG133*W133/100</f>
        <v>0</v>
      </c>
      <c r="AB140" s="233"/>
      <c r="AC140" s="233"/>
      <c r="AD140" s="233"/>
      <c r="AE140" s="233"/>
      <c r="AF140" s="233"/>
      <c r="AG140" s="233"/>
      <c r="AH140" s="233"/>
      <c r="AI140" s="233"/>
    </row>
    <row r="141" spans="1:30" ht="12.75">
      <c r="A141" s="144"/>
      <c r="B141" s="125" t="s">
        <v>43</v>
      </c>
      <c r="C141" s="126"/>
      <c r="D141" s="126"/>
      <c r="E141" s="126"/>
      <c r="F141" s="161"/>
      <c r="G141" s="165">
        <f>G139-G140</f>
        <v>0</v>
      </c>
      <c r="H141" s="163"/>
      <c r="I141" s="163"/>
      <c r="J141" s="164"/>
      <c r="K141" s="162">
        <f>K139-K140</f>
        <v>0</v>
      </c>
      <c r="L141" s="163"/>
      <c r="M141" s="163"/>
      <c r="N141" s="164"/>
      <c r="O141" s="275">
        <f>O139-O140</f>
        <v>0</v>
      </c>
      <c r="P141" s="276"/>
      <c r="Q141" s="276"/>
      <c r="R141" s="277"/>
      <c r="S141" s="275">
        <v>0</v>
      </c>
      <c r="T141" s="276"/>
      <c r="U141" s="276"/>
      <c r="V141" s="277"/>
      <c r="W141" s="153">
        <f t="shared" si="9"/>
        <v>0</v>
      </c>
      <c r="X141" s="154"/>
      <c r="Y141" s="154"/>
      <c r="Z141" s="155"/>
      <c r="AA141" s="280">
        <f>IF(G135&lt;10,($L$2+0.005*G135),($L$2+0.05+(G135-10)*0.015))</f>
        <v>0.6</v>
      </c>
      <c r="AB141" s="281"/>
      <c r="AC141" s="280">
        <f>IF(K135&lt;10,($L$2+0.005*K135),($L$2+0.05+(K135-10)*0.015))</f>
        <v>0.6</v>
      </c>
      <c r="AD141" s="281"/>
    </row>
    <row r="142" spans="1:26" ht="12.75">
      <c r="A142" s="144"/>
      <c r="B142" s="125" t="s">
        <v>30</v>
      </c>
      <c r="C142" s="126"/>
      <c r="D142" s="126"/>
      <c r="E142" s="126"/>
      <c r="F142" s="161"/>
      <c r="G142" s="156">
        <f>G134/100*AA141</f>
        <v>60</v>
      </c>
      <c r="H142" s="157"/>
      <c r="I142" s="157"/>
      <c r="J142" s="158"/>
      <c r="K142" s="160">
        <f>K134/100*AC141</f>
        <v>27.36</v>
      </c>
      <c r="L142" s="157"/>
      <c r="M142" s="157"/>
      <c r="N142" s="158"/>
      <c r="O142" s="246">
        <f>O134/100*$L$2</f>
        <v>0</v>
      </c>
      <c r="P142" s="247"/>
      <c r="Q142" s="247"/>
      <c r="R142" s="248"/>
      <c r="S142" s="246">
        <f>S134/100*$L$2</f>
        <v>0</v>
      </c>
      <c r="T142" s="247"/>
      <c r="U142" s="247"/>
      <c r="V142" s="248"/>
      <c r="W142" s="153">
        <f t="shared" si="9"/>
        <v>87.36</v>
      </c>
      <c r="X142" s="154"/>
      <c r="Y142" s="154"/>
      <c r="Z142" s="155"/>
    </row>
    <row r="143" spans="1:26" ht="12.75">
      <c r="A143" s="144"/>
      <c r="B143" s="125" t="s">
        <v>44</v>
      </c>
      <c r="C143" s="126"/>
      <c r="D143" s="126"/>
      <c r="E143" s="126"/>
      <c r="F143" s="161"/>
      <c r="G143" s="156">
        <f>G142-G139-G138</f>
        <v>8.100000000000001</v>
      </c>
      <c r="H143" s="157"/>
      <c r="I143" s="157"/>
      <c r="J143" s="158"/>
      <c r="K143" s="160">
        <f>K142-K139-K138</f>
        <v>-9.54</v>
      </c>
      <c r="L143" s="157"/>
      <c r="M143" s="157"/>
      <c r="N143" s="158"/>
      <c r="O143" s="246">
        <f>O142-O139-O138</f>
        <v>0</v>
      </c>
      <c r="P143" s="247"/>
      <c r="Q143" s="247"/>
      <c r="R143" s="248"/>
      <c r="S143" s="246">
        <f>S142-S139-S138</f>
        <v>0</v>
      </c>
      <c r="T143" s="247"/>
      <c r="U143" s="247"/>
      <c r="V143" s="248"/>
      <c r="W143" s="153">
        <f t="shared" si="9"/>
        <v>-1.4399999999999977</v>
      </c>
      <c r="X143" s="154"/>
      <c r="Y143" s="154"/>
      <c r="Z143" s="155"/>
    </row>
    <row r="144" spans="1:26" ht="12.75">
      <c r="A144" s="144"/>
      <c r="B144" s="125" t="s">
        <v>45</v>
      </c>
      <c r="C144" s="126"/>
      <c r="D144" s="126"/>
      <c r="E144" s="126"/>
      <c r="F144" s="161"/>
      <c r="G144" s="156">
        <f>G143+G141</f>
        <v>8.100000000000001</v>
      </c>
      <c r="H144" s="157"/>
      <c r="I144" s="157"/>
      <c r="J144" s="158"/>
      <c r="K144" s="160">
        <f>K143+K141</f>
        <v>-9.54</v>
      </c>
      <c r="L144" s="157"/>
      <c r="M144" s="157"/>
      <c r="N144" s="158"/>
      <c r="O144" s="246">
        <f>O143+O141</f>
        <v>0</v>
      </c>
      <c r="P144" s="247"/>
      <c r="Q144" s="247"/>
      <c r="R144" s="248"/>
      <c r="S144" s="246">
        <f>S143+S141</f>
        <v>0</v>
      </c>
      <c r="T144" s="247"/>
      <c r="U144" s="247"/>
      <c r="V144" s="248"/>
      <c r="W144" s="153">
        <f t="shared" si="9"/>
        <v>-1.4399999999999977</v>
      </c>
      <c r="X144" s="154"/>
      <c r="Y144" s="154"/>
      <c r="Z144" s="155"/>
    </row>
    <row r="145" spans="1:26" ht="12.75">
      <c r="A145" s="144"/>
      <c r="B145" s="194" t="s">
        <v>26</v>
      </c>
      <c r="C145" s="98"/>
      <c r="D145" s="98"/>
      <c r="E145" s="98"/>
      <c r="F145" s="195"/>
      <c r="G145" s="196">
        <f>$AG136/100*$AL$3</f>
        <v>-0.28799999999999953</v>
      </c>
      <c r="H145" s="197"/>
      <c r="I145" s="197"/>
      <c r="J145" s="198"/>
      <c r="K145" s="196">
        <f>$AG136/100*$AL$4</f>
        <v>-0.28799999999999953</v>
      </c>
      <c r="L145" s="197"/>
      <c r="M145" s="197"/>
      <c r="N145" s="198"/>
      <c r="O145" s="196">
        <v>0</v>
      </c>
      <c r="P145" s="197"/>
      <c r="Q145" s="197"/>
      <c r="R145" s="198"/>
      <c r="S145" s="196">
        <v>0</v>
      </c>
      <c r="T145" s="197"/>
      <c r="U145" s="197"/>
      <c r="V145" s="198"/>
      <c r="W145" s="153">
        <f t="shared" si="9"/>
        <v>-0.5759999999999991</v>
      </c>
      <c r="X145" s="154"/>
      <c r="Y145" s="154"/>
      <c r="Z145" s="155"/>
    </row>
    <row r="146" spans="1:26" ht="12.75" customHeight="1" thickBot="1">
      <c r="A146" s="144"/>
      <c r="B146" s="191" t="s">
        <v>28</v>
      </c>
      <c r="C146" s="192"/>
      <c r="D146" s="192"/>
      <c r="E146" s="192"/>
      <c r="F146" s="193"/>
      <c r="G146" s="149">
        <f>IF(G145&lt;0,G138,G138+G145)</f>
        <v>35</v>
      </c>
      <c r="H146" s="147"/>
      <c r="I146" s="147"/>
      <c r="J146" s="148"/>
      <c r="K146" s="146">
        <f>IF(K145&lt;0,K138,K138+K145)</f>
        <v>20</v>
      </c>
      <c r="L146" s="147"/>
      <c r="M146" s="147"/>
      <c r="N146" s="148"/>
      <c r="O146" s="255">
        <f>IF(O145&lt;0,O138,O138+O145)</f>
        <v>0</v>
      </c>
      <c r="P146" s="256"/>
      <c r="Q146" s="256"/>
      <c r="R146" s="257"/>
      <c r="S146" s="255">
        <f>IF(S145&lt;0,S138,S138+S145)</f>
        <v>0</v>
      </c>
      <c r="T146" s="256"/>
      <c r="U146" s="256"/>
      <c r="V146" s="257"/>
      <c r="W146" s="150">
        <f t="shared" si="9"/>
        <v>55</v>
      </c>
      <c r="X146" s="151"/>
      <c r="Y146" s="151"/>
      <c r="Z146" s="152"/>
    </row>
    <row r="147" spans="1:35" ht="12.75">
      <c r="A147" s="143" t="s">
        <v>71</v>
      </c>
      <c r="B147" s="93" t="s">
        <v>23</v>
      </c>
      <c r="C147" s="94"/>
      <c r="D147" s="94"/>
      <c r="E147" s="94"/>
      <c r="F147" s="199"/>
      <c r="G147" s="185">
        <v>7280</v>
      </c>
      <c r="H147" s="183"/>
      <c r="I147" s="183"/>
      <c r="J147" s="184"/>
      <c r="K147" s="185">
        <v>7280</v>
      </c>
      <c r="L147" s="183"/>
      <c r="M147" s="183"/>
      <c r="N147" s="184"/>
      <c r="O147" s="242">
        <v>0</v>
      </c>
      <c r="P147" s="243"/>
      <c r="Q147" s="243"/>
      <c r="R147" s="244"/>
      <c r="S147" s="242">
        <v>0</v>
      </c>
      <c r="T147" s="243"/>
      <c r="U147" s="243"/>
      <c r="V147" s="244"/>
      <c r="W147" s="170">
        <f t="shared" si="9"/>
        <v>14560</v>
      </c>
      <c r="X147" s="171"/>
      <c r="Y147" s="171"/>
      <c r="Z147" s="172"/>
      <c r="AA147" s="236" t="s">
        <v>53</v>
      </c>
      <c r="AB147" s="94"/>
      <c r="AC147" s="94"/>
      <c r="AD147" s="94"/>
      <c r="AE147" s="94"/>
      <c r="AF147" s="94"/>
      <c r="AG147" s="269">
        <v>0</v>
      </c>
      <c r="AH147" s="270"/>
      <c r="AI147" s="271"/>
    </row>
    <row r="148" spans="1:35" ht="12.75">
      <c r="A148" s="144"/>
      <c r="B148" s="125" t="s">
        <v>24</v>
      </c>
      <c r="C148" s="126"/>
      <c r="D148" s="126"/>
      <c r="E148" s="126"/>
      <c r="F148" s="161"/>
      <c r="G148" s="239">
        <v>7280</v>
      </c>
      <c r="H148" s="240"/>
      <c r="I148" s="240"/>
      <c r="J148" s="241"/>
      <c r="K148" s="239">
        <v>7280</v>
      </c>
      <c r="L148" s="240"/>
      <c r="M148" s="240"/>
      <c r="N148" s="241"/>
      <c r="O148" s="239">
        <v>0</v>
      </c>
      <c r="P148" s="240"/>
      <c r="Q148" s="240"/>
      <c r="R148" s="241"/>
      <c r="S148" s="239">
        <v>0</v>
      </c>
      <c r="T148" s="240"/>
      <c r="U148" s="240"/>
      <c r="V148" s="241"/>
      <c r="W148" s="153">
        <f t="shared" si="9"/>
        <v>14560</v>
      </c>
      <c r="X148" s="154"/>
      <c r="Y148" s="154"/>
      <c r="Z148" s="155"/>
      <c r="AA148" s="205" t="s">
        <v>54</v>
      </c>
      <c r="AB148" s="126"/>
      <c r="AC148" s="126"/>
      <c r="AD148" s="126"/>
      <c r="AE148" s="126"/>
      <c r="AF148" s="126"/>
      <c r="AG148" s="272">
        <v>0</v>
      </c>
      <c r="AH148" s="273"/>
      <c r="AI148" s="274"/>
    </row>
    <row r="149" spans="1:35" ht="12.75">
      <c r="A149" s="144"/>
      <c r="B149" s="237" t="s">
        <v>130</v>
      </c>
      <c r="C149" s="204"/>
      <c r="D149" s="204"/>
      <c r="E149" s="204"/>
      <c r="F149" s="259"/>
      <c r="G149" s="249">
        <v>0</v>
      </c>
      <c r="H149" s="250"/>
      <c r="I149" s="250"/>
      <c r="J149" s="251"/>
      <c r="K149" s="252">
        <v>0</v>
      </c>
      <c r="L149" s="253"/>
      <c r="M149" s="253"/>
      <c r="N149" s="254"/>
      <c r="O149" s="252">
        <v>0</v>
      </c>
      <c r="P149" s="253"/>
      <c r="Q149" s="253"/>
      <c r="R149" s="254"/>
      <c r="S149" s="252">
        <v>0</v>
      </c>
      <c r="T149" s="253"/>
      <c r="U149" s="253"/>
      <c r="V149" s="254"/>
      <c r="W149" s="260">
        <f>(G149*G148+K149*K148+O149*O148+S149*S148)/W148</f>
        <v>0</v>
      </c>
      <c r="X149" s="261"/>
      <c r="Y149" s="261"/>
      <c r="Z149" s="262"/>
      <c r="AA149" s="205" t="s">
        <v>55</v>
      </c>
      <c r="AB149" s="126"/>
      <c r="AC149" s="126"/>
      <c r="AD149" s="126"/>
      <c r="AE149" s="126"/>
      <c r="AF149" s="126"/>
      <c r="AG149" s="134">
        <f>AG148</f>
        <v>0</v>
      </c>
      <c r="AH149" s="134"/>
      <c r="AI149" s="135"/>
    </row>
    <row r="150" spans="1:35" ht="12.75">
      <c r="A150" s="144"/>
      <c r="B150" s="125" t="s">
        <v>29</v>
      </c>
      <c r="C150" s="126"/>
      <c r="D150" s="126"/>
      <c r="E150" s="126"/>
      <c r="F150" s="161"/>
      <c r="G150" s="246">
        <f>IF(G149&lt;=10,(G149*0.005+0.35)*G148/100,((G149-10)*0.015+0.4)*G148/100)</f>
        <v>25.48</v>
      </c>
      <c r="H150" s="247"/>
      <c r="I150" s="247"/>
      <c r="J150" s="248"/>
      <c r="K150" s="246">
        <f>IF(K149&lt;=10,(K149*0.005+0.35)*K148/100,((K149-10)*0.015+0.4)*K148/100)</f>
        <v>25.48</v>
      </c>
      <c r="L150" s="247"/>
      <c r="M150" s="247"/>
      <c r="N150" s="248"/>
      <c r="O150" s="246">
        <f>IF(O149&lt;=10,(O149*0.005+0.35)*O148/100,((O149-10)*0.015+0.4)*O148/100)</f>
        <v>0</v>
      </c>
      <c r="P150" s="247"/>
      <c r="Q150" s="247"/>
      <c r="R150" s="248"/>
      <c r="S150" s="246">
        <f>IF(S149&lt;=10,(S149*0.005+0.35)*S148/100,((S149-10)*0.015+0.4)*S148/100)</f>
        <v>0</v>
      </c>
      <c r="T150" s="247"/>
      <c r="U150" s="247"/>
      <c r="V150" s="248"/>
      <c r="W150" s="153">
        <f aca="true" t="shared" si="10" ref="W150:W160">G150+K150+O150+S150</f>
        <v>50.96</v>
      </c>
      <c r="X150" s="154"/>
      <c r="Y150" s="154"/>
      <c r="Z150" s="155"/>
      <c r="AA150" s="205" t="s">
        <v>56</v>
      </c>
      <c r="AB150" s="126"/>
      <c r="AC150" s="126"/>
      <c r="AD150" s="126"/>
      <c r="AE150" s="126"/>
      <c r="AF150" s="126"/>
      <c r="AG150" s="134">
        <f>W158+AG149</f>
        <v>-1.9199999999999982</v>
      </c>
      <c r="AH150" s="134"/>
      <c r="AI150" s="135"/>
    </row>
    <row r="151" spans="1:35" ht="13.5" thickBot="1">
      <c r="A151" s="144"/>
      <c r="B151" s="125" t="s">
        <v>10</v>
      </c>
      <c r="C151" s="126"/>
      <c r="D151" s="126"/>
      <c r="E151" s="126"/>
      <c r="F151" s="161"/>
      <c r="G151" s="169">
        <v>30</v>
      </c>
      <c r="H151" s="167"/>
      <c r="I151" s="167"/>
      <c r="J151" s="168"/>
      <c r="K151" s="166">
        <v>20</v>
      </c>
      <c r="L151" s="167"/>
      <c r="M151" s="167"/>
      <c r="N151" s="168"/>
      <c r="O151" s="239">
        <v>0</v>
      </c>
      <c r="P151" s="240"/>
      <c r="Q151" s="240"/>
      <c r="R151" s="241"/>
      <c r="S151" s="239">
        <v>0</v>
      </c>
      <c r="T151" s="240"/>
      <c r="U151" s="240"/>
      <c r="V151" s="241"/>
      <c r="W151" s="153">
        <f t="shared" si="10"/>
        <v>50</v>
      </c>
      <c r="X151" s="154"/>
      <c r="Y151" s="154"/>
      <c r="Z151" s="155"/>
      <c r="AA151" s="232" t="s">
        <v>57</v>
      </c>
      <c r="AB151" s="90"/>
      <c r="AC151" s="90"/>
      <c r="AD151" s="90"/>
      <c r="AE151" s="90"/>
      <c r="AF151" s="90"/>
      <c r="AG151" s="91">
        <f>-AG149+AG150-W159</f>
        <v>-1.1519999999999988</v>
      </c>
      <c r="AH151" s="91"/>
      <c r="AI151" s="85"/>
    </row>
    <row r="152" spans="1:35" ht="13.5" thickBot="1">
      <c r="A152" s="144"/>
      <c r="B152" s="125" t="s">
        <v>58</v>
      </c>
      <c r="C152" s="126"/>
      <c r="D152" s="126"/>
      <c r="E152" s="126"/>
      <c r="F152" s="161"/>
      <c r="G152" s="156">
        <f>IF(G150&lt;G151,G151,G150)</f>
        <v>30</v>
      </c>
      <c r="H152" s="157"/>
      <c r="I152" s="157"/>
      <c r="J152" s="158"/>
      <c r="K152" s="160">
        <f>IF(K150&lt;K151,K151,K150)</f>
        <v>25.48</v>
      </c>
      <c r="L152" s="157"/>
      <c r="M152" s="157"/>
      <c r="N152" s="158"/>
      <c r="O152" s="246">
        <f>IF(O150&lt;O151,O151,O150)</f>
        <v>0</v>
      </c>
      <c r="P152" s="247"/>
      <c r="Q152" s="247"/>
      <c r="R152" s="248"/>
      <c r="S152" s="246">
        <f>IF(S150&lt;S151,S151,S150)</f>
        <v>0</v>
      </c>
      <c r="T152" s="247"/>
      <c r="U152" s="247"/>
      <c r="V152" s="248"/>
      <c r="W152" s="153">
        <f t="shared" si="10"/>
        <v>55.480000000000004</v>
      </c>
      <c r="X152" s="154"/>
      <c r="Y152" s="154"/>
      <c r="Z152" s="155"/>
      <c r="AA152" s="230" t="s">
        <v>59</v>
      </c>
      <c r="AB152" s="231"/>
      <c r="AC152" s="231"/>
      <c r="AD152" s="231"/>
      <c r="AE152" s="231"/>
      <c r="AF152" s="231"/>
      <c r="AG152" s="266">
        <f>AG148+AG151</f>
        <v>-1.1519999999999988</v>
      </c>
      <c r="AH152" s="267"/>
      <c r="AI152" s="268"/>
    </row>
    <row r="153" spans="1:35" ht="12.75">
      <c r="A153" s="144"/>
      <c r="B153" s="125" t="s">
        <v>41</v>
      </c>
      <c r="C153" s="126"/>
      <c r="D153" s="126"/>
      <c r="E153" s="126"/>
      <c r="F153" s="161"/>
      <c r="G153" s="156">
        <v>16.9</v>
      </c>
      <c r="H153" s="157"/>
      <c r="I153" s="157"/>
      <c r="J153" s="158"/>
      <c r="K153" s="156">
        <v>16.9</v>
      </c>
      <c r="L153" s="157"/>
      <c r="M153" s="157"/>
      <c r="N153" s="158"/>
      <c r="O153" s="246">
        <v>0</v>
      </c>
      <c r="P153" s="247"/>
      <c r="Q153" s="247"/>
      <c r="R153" s="248"/>
      <c r="S153" s="246">
        <v>0</v>
      </c>
      <c r="T153" s="247"/>
      <c r="U153" s="247"/>
      <c r="V153" s="248"/>
      <c r="W153" s="153">
        <f t="shared" si="10"/>
        <v>33.8</v>
      </c>
      <c r="X153" s="154"/>
      <c r="Y153" s="154"/>
      <c r="Z153" s="155"/>
      <c r="AA153" s="136">
        <f>(W153+W152)/W148*100-$L$2</f>
        <v>0.013186813186813251</v>
      </c>
      <c r="AB153" s="136"/>
      <c r="AC153" s="136"/>
      <c r="AD153" s="136"/>
      <c r="AE153" s="136"/>
      <c r="AF153" s="136"/>
      <c r="AG153" s="136"/>
      <c r="AH153" s="136"/>
      <c r="AI153" s="136"/>
    </row>
    <row r="154" spans="1:35" ht="12.75">
      <c r="A154" s="144"/>
      <c r="B154" s="125" t="s">
        <v>42</v>
      </c>
      <c r="C154" s="126"/>
      <c r="D154" s="126"/>
      <c r="E154" s="126"/>
      <c r="F154" s="161"/>
      <c r="G154" s="169">
        <v>16.9</v>
      </c>
      <c r="H154" s="167"/>
      <c r="I154" s="167"/>
      <c r="J154" s="168"/>
      <c r="K154" s="169">
        <v>16.9</v>
      </c>
      <c r="L154" s="167"/>
      <c r="M154" s="167"/>
      <c r="N154" s="168"/>
      <c r="O154" s="239">
        <v>0</v>
      </c>
      <c r="P154" s="240"/>
      <c r="Q154" s="240"/>
      <c r="R154" s="241"/>
      <c r="S154" s="239">
        <v>0</v>
      </c>
      <c r="T154" s="240"/>
      <c r="U154" s="240"/>
      <c r="V154" s="241"/>
      <c r="W154" s="153">
        <f t="shared" si="10"/>
        <v>33.8</v>
      </c>
      <c r="X154" s="154"/>
      <c r="Y154" s="154"/>
      <c r="Z154" s="155"/>
      <c r="AA154" s="132">
        <f>AG147*W147/100</f>
        <v>0</v>
      </c>
      <c r="AB154" s="233"/>
      <c r="AC154" s="233"/>
      <c r="AD154" s="233"/>
      <c r="AE154" s="233"/>
      <c r="AF154" s="233"/>
      <c r="AG154" s="233"/>
      <c r="AH154" s="233"/>
      <c r="AI154" s="233"/>
    </row>
    <row r="155" spans="1:30" ht="12.75">
      <c r="A155" s="144"/>
      <c r="B155" s="125" t="s">
        <v>43</v>
      </c>
      <c r="C155" s="126"/>
      <c r="D155" s="126"/>
      <c r="E155" s="126"/>
      <c r="F155" s="161"/>
      <c r="G155" s="165">
        <f>G153-G154</f>
        <v>0</v>
      </c>
      <c r="H155" s="163"/>
      <c r="I155" s="163"/>
      <c r="J155" s="164"/>
      <c r="K155" s="162">
        <f>K153-K154</f>
        <v>0</v>
      </c>
      <c r="L155" s="163"/>
      <c r="M155" s="163"/>
      <c r="N155" s="164"/>
      <c r="O155" s="275">
        <f>O153-O154</f>
        <v>0</v>
      </c>
      <c r="P155" s="276"/>
      <c r="Q155" s="276"/>
      <c r="R155" s="277"/>
      <c r="S155" s="275">
        <v>0</v>
      </c>
      <c r="T155" s="276"/>
      <c r="U155" s="276"/>
      <c r="V155" s="277"/>
      <c r="W155" s="153">
        <f t="shared" si="10"/>
        <v>0</v>
      </c>
      <c r="X155" s="154"/>
      <c r="Y155" s="154"/>
      <c r="Z155" s="155"/>
      <c r="AA155" s="280">
        <f>IF(G149&lt;10,($L$2+0.005*G149),($L$2+0.05+(G149-10)*0.015))</f>
        <v>0.6</v>
      </c>
      <c r="AB155" s="281"/>
      <c r="AC155" s="280">
        <f>IF(K149&lt;10,($L$2+0.005*K149),($L$2+0.05+(K149-10)*0.015))</f>
        <v>0.6</v>
      </c>
      <c r="AD155" s="281"/>
    </row>
    <row r="156" spans="1:26" ht="12.75">
      <c r="A156" s="144"/>
      <c r="B156" s="125" t="s">
        <v>30</v>
      </c>
      <c r="C156" s="126"/>
      <c r="D156" s="126"/>
      <c r="E156" s="126"/>
      <c r="F156" s="161"/>
      <c r="G156" s="156">
        <f>G148/100*AA155</f>
        <v>43.68</v>
      </c>
      <c r="H156" s="157"/>
      <c r="I156" s="157"/>
      <c r="J156" s="158"/>
      <c r="K156" s="160">
        <f>K148/100*AC155</f>
        <v>43.68</v>
      </c>
      <c r="L156" s="157"/>
      <c r="M156" s="157"/>
      <c r="N156" s="158"/>
      <c r="O156" s="246">
        <f>O148/100*$L$2</f>
        <v>0</v>
      </c>
      <c r="P156" s="247"/>
      <c r="Q156" s="247"/>
      <c r="R156" s="248"/>
      <c r="S156" s="246">
        <f>S148/100*$L$2</f>
        <v>0</v>
      </c>
      <c r="T156" s="247"/>
      <c r="U156" s="247"/>
      <c r="V156" s="248"/>
      <c r="W156" s="153">
        <f t="shared" si="10"/>
        <v>87.36</v>
      </c>
      <c r="X156" s="154"/>
      <c r="Y156" s="154"/>
      <c r="Z156" s="155"/>
    </row>
    <row r="157" spans="1:26" ht="12.75">
      <c r="A157" s="144"/>
      <c r="B157" s="125" t="s">
        <v>44</v>
      </c>
      <c r="C157" s="126"/>
      <c r="D157" s="126"/>
      <c r="E157" s="126"/>
      <c r="F157" s="161"/>
      <c r="G157" s="156">
        <f>G156-G153-G152</f>
        <v>-3.219999999999999</v>
      </c>
      <c r="H157" s="157"/>
      <c r="I157" s="157"/>
      <c r="J157" s="158"/>
      <c r="K157" s="160">
        <f>K156-K153-K152</f>
        <v>1.3000000000000007</v>
      </c>
      <c r="L157" s="157"/>
      <c r="M157" s="157"/>
      <c r="N157" s="158"/>
      <c r="O157" s="246">
        <f>O156-O153-O152</f>
        <v>0</v>
      </c>
      <c r="P157" s="247"/>
      <c r="Q157" s="247"/>
      <c r="R157" s="248"/>
      <c r="S157" s="246">
        <f>S156-S153-S152</f>
        <v>0</v>
      </c>
      <c r="T157" s="247"/>
      <c r="U157" s="247"/>
      <c r="V157" s="248"/>
      <c r="W157" s="153">
        <f t="shared" si="10"/>
        <v>-1.9199999999999982</v>
      </c>
      <c r="X157" s="154"/>
      <c r="Y157" s="154"/>
      <c r="Z157" s="155"/>
    </row>
    <row r="158" spans="1:26" ht="12.75">
      <c r="A158" s="144"/>
      <c r="B158" s="125" t="s">
        <v>45</v>
      </c>
      <c r="C158" s="126"/>
      <c r="D158" s="126"/>
      <c r="E158" s="126"/>
      <c r="F158" s="161"/>
      <c r="G158" s="156">
        <f>G157+G155</f>
        <v>-3.219999999999999</v>
      </c>
      <c r="H158" s="157"/>
      <c r="I158" s="157"/>
      <c r="J158" s="158"/>
      <c r="K158" s="160">
        <f>K157+K155</f>
        <v>1.3000000000000007</v>
      </c>
      <c r="L158" s="157"/>
      <c r="M158" s="157"/>
      <c r="N158" s="158"/>
      <c r="O158" s="246">
        <f>O157+O155</f>
        <v>0</v>
      </c>
      <c r="P158" s="247"/>
      <c r="Q158" s="247"/>
      <c r="R158" s="248"/>
      <c r="S158" s="246">
        <f>S157+S155</f>
        <v>0</v>
      </c>
      <c r="T158" s="247"/>
      <c r="U158" s="247"/>
      <c r="V158" s="248"/>
      <c r="W158" s="153">
        <f t="shared" si="10"/>
        <v>-1.9199999999999982</v>
      </c>
      <c r="X158" s="154"/>
      <c r="Y158" s="154"/>
      <c r="Z158" s="155"/>
    </row>
    <row r="159" spans="1:26" ht="12.75">
      <c r="A159" s="144"/>
      <c r="B159" s="194" t="s">
        <v>26</v>
      </c>
      <c r="C159" s="98"/>
      <c r="D159" s="98"/>
      <c r="E159" s="98"/>
      <c r="F159" s="195"/>
      <c r="G159" s="196">
        <f>$AG150/100*$AL$3</f>
        <v>-0.3839999999999996</v>
      </c>
      <c r="H159" s="197"/>
      <c r="I159" s="197"/>
      <c r="J159" s="198"/>
      <c r="K159" s="196">
        <f>$AG150/100*$AL$4</f>
        <v>-0.3839999999999996</v>
      </c>
      <c r="L159" s="197"/>
      <c r="M159" s="197"/>
      <c r="N159" s="198"/>
      <c r="O159" s="196">
        <v>0</v>
      </c>
      <c r="P159" s="197"/>
      <c r="Q159" s="197"/>
      <c r="R159" s="198"/>
      <c r="S159" s="196">
        <v>0</v>
      </c>
      <c r="T159" s="197"/>
      <c r="U159" s="197"/>
      <c r="V159" s="198"/>
      <c r="W159" s="153">
        <f t="shared" si="10"/>
        <v>-0.7679999999999992</v>
      </c>
      <c r="X159" s="154"/>
      <c r="Y159" s="154"/>
      <c r="Z159" s="155"/>
    </row>
    <row r="160" spans="1:26" ht="13.5" thickBot="1">
      <c r="A160" s="145"/>
      <c r="B160" s="191" t="s">
        <v>28</v>
      </c>
      <c r="C160" s="192"/>
      <c r="D160" s="192"/>
      <c r="E160" s="192"/>
      <c r="F160" s="193"/>
      <c r="G160" s="149">
        <f>IF(G159&lt;0,G152,G152+G159)</f>
        <v>30</v>
      </c>
      <c r="H160" s="147"/>
      <c r="I160" s="147"/>
      <c r="J160" s="148"/>
      <c r="K160" s="146">
        <f>IF(K159&lt;0,K152,K152+K159)</f>
        <v>25.48</v>
      </c>
      <c r="L160" s="147"/>
      <c r="M160" s="147"/>
      <c r="N160" s="148"/>
      <c r="O160" s="255">
        <f>IF(O159&lt;0,O152,O152+O159)</f>
        <v>0</v>
      </c>
      <c r="P160" s="256"/>
      <c r="Q160" s="256"/>
      <c r="R160" s="257"/>
      <c r="S160" s="255">
        <f>IF(S159&lt;0,S152,S152+S159)</f>
        <v>0</v>
      </c>
      <c r="T160" s="256"/>
      <c r="U160" s="256"/>
      <c r="V160" s="257"/>
      <c r="W160" s="150">
        <f t="shared" si="10"/>
        <v>55.480000000000004</v>
      </c>
      <c r="X160" s="151"/>
      <c r="Y160" s="151"/>
      <c r="Z160" s="152"/>
    </row>
  </sheetData>
  <mergeCells count="1171">
    <mergeCell ref="AA155:AB155"/>
    <mergeCell ref="AC155:AD155"/>
    <mergeCell ref="AA127:AB127"/>
    <mergeCell ref="AC127:AD127"/>
    <mergeCell ref="AA141:AB141"/>
    <mergeCell ref="AC141:AD141"/>
    <mergeCell ref="AA133:AF133"/>
    <mergeCell ref="AA135:AF135"/>
    <mergeCell ref="AA137:AF137"/>
    <mergeCell ref="AA139:AI139"/>
    <mergeCell ref="AA99:AB99"/>
    <mergeCell ref="AC99:AD99"/>
    <mergeCell ref="AA113:AB113"/>
    <mergeCell ref="AC113:AD113"/>
    <mergeCell ref="AA105:AF105"/>
    <mergeCell ref="AA109:AF109"/>
    <mergeCell ref="AA107:AF107"/>
    <mergeCell ref="AA71:AB71"/>
    <mergeCell ref="AC71:AD71"/>
    <mergeCell ref="AA85:AB85"/>
    <mergeCell ref="AC85:AD85"/>
    <mergeCell ref="AA77:AF77"/>
    <mergeCell ref="AA79:AF79"/>
    <mergeCell ref="AA83:AI83"/>
    <mergeCell ref="AA84:AI84"/>
    <mergeCell ref="AG77:AI77"/>
    <mergeCell ref="AA78:AF78"/>
    <mergeCell ref="AC29:AD29"/>
    <mergeCell ref="AA43:AB43"/>
    <mergeCell ref="AC43:AD43"/>
    <mergeCell ref="AA57:AB57"/>
    <mergeCell ref="AC57:AD57"/>
    <mergeCell ref="AA35:AF35"/>
    <mergeCell ref="AA37:AF37"/>
    <mergeCell ref="AA53:AF53"/>
    <mergeCell ref="A1:K1"/>
    <mergeCell ref="L1:M1"/>
    <mergeCell ref="N1:P1"/>
    <mergeCell ref="Q1:S1"/>
    <mergeCell ref="T1:V1"/>
    <mergeCell ref="W1:AG1"/>
    <mergeCell ref="AH1:AW1"/>
    <mergeCell ref="AX1:BA1"/>
    <mergeCell ref="A2:K2"/>
    <mergeCell ref="L2:M2"/>
    <mergeCell ref="N2:P2"/>
    <mergeCell ref="Q2:S2"/>
    <mergeCell ref="T2:V2"/>
    <mergeCell ref="W2:AG4"/>
    <mergeCell ref="AH2:AK2"/>
    <mergeCell ref="AL2:AO2"/>
    <mergeCell ref="AP2:AS2"/>
    <mergeCell ref="AT2:AW2"/>
    <mergeCell ref="AX2:BA4"/>
    <mergeCell ref="A3:K3"/>
    <mergeCell ref="L3:M3"/>
    <mergeCell ref="N3:P3"/>
    <mergeCell ref="Q3:S3"/>
    <mergeCell ref="T3:V3"/>
    <mergeCell ref="AH3:AK3"/>
    <mergeCell ref="AL3:AO3"/>
    <mergeCell ref="AP3:AS3"/>
    <mergeCell ref="AT3:AW3"/>
    <mergeCell ref="L4:M4"/>
    <mergeCell ref="N4:P4"/>
    <mergeCell ref="Q4:S4"/>
    <mergeCell ref="T4:V4"/>
    <mergeCell ref="AH4:AK4"/>
    <mergeCell ref="AL4:AO4"/>
    <mergeCell ref="AP4:AS4"/>
    <mergeCell ref="AT4:AW4"/>
    <mergeCell ref="A6:F6"/>
    <mergeCell ref="G6:J6"/>
    <mergeCell ref="K6:N6"/>
    <mergeCell ref="O6:R6"/>
    <mergeCell ref="S6:V6"/>
    <mergeCell ref="W6:Z6"/>
    <mergeCell ref="AA6:AI6"/>
    <mergeCell ref="S5:U5"/>
    <mergeCell ref="V5:X5"/>
    <mergeCell ref="Y5:AA5"/>
    <mergeCell ref="AB5:AD5"/>
    <mergeCell ref="AE5:AG5"/>
    <mergeCell ref="AH5:AJ5"/>
    <mergeCell ref="B10:F10"/>
    <mergeCell ref="G10:J10"/>
    <mergeCell ref="K10:N10"/>
    <mergeCell ref="B12:F12"/>
    <mergeCell ref="G12:J12"/>
    <mergeCell ref="K12:N12"/>
    <mergeCell ref="B11:F11"/>
    <mergeCell ref="G11:J11"/>
    <mergeCell ref="K11:N11"/>
    <mergeCell ref="W7:Z7"/>
    <mergeCell ref="AA7:AF7"/>
    <mergeCell ref="B7:F7"/>
    <mergeCell ref="G7:J7"/>
    <mergeCell ref="K7:N7"/>
    <mergeCell ref="O7:R7"/>
    <mergeCell ref="AG7:AI7"/>
    <mergeCell ref="B8:F8"/>
    <mergeCell ref="G8:J8"/>
    <mergeCell ref="K8:N8"/>
    <mergeCell ref="O8:R8"/>
    <mergeCell ref="S8:V8"/>
    <mergeCell ref="W8:Z8"/>
    <mergeCell ref="AA8:AF8"/>
    <mergeCell ref="AG8:AI8"/>
    <mergeCell ref="S7:V7"/>
    <mergeCell ref="AG9:AI9"/>
    <mergeCell ref="S11:V11"/>
    <mergeCell ref="W11:Z11"/>
    <mergeCell ref="AA10:AF10"/>
    <mergeCell ref="AG10:AI10"/>
    <mergeCell ref="S10:V10"/>
    <mergeCell ref="W10:Z10"/>
    <mergeCell ref="AG11:AI11"/>
    <mergeCell ref="AA9:AF9"/>
    <mergeCell ref="AA11:AF11"/>
    <mergeCell ref="B13:F13"/>
    <mergeCell ref="G13:J13"/>
    <mergeCell ref="K13:N13"/>
    <mergeCell ref="O13:R13"/>
    <mergeCell ref="W13:Z13"/>
    <mergeCell ref="AA12:AF12"/>
    <mergeCell ref="AG12:AI12"/>
    <mergeCell ref="AA13:AI13"/>
    <mergeCell ref="W12:Z12"/>
    <mergeCell ref="K15:N15"/>
    <mergeCell ref="O15:R15"/>
    <mergeCell ref="W14:Z14"/>
    <mergeCell ref="K14:N14"/>
    <mergeCell ref="B14:F14"/>
    <mergeCell ref="G14:J14"/>
    <mergeCell ref="B15:F15"/>
    <mergeCell ref="G15:J15"/>
    <mergeCell ref="W16:Z16"/>
    <mergeCell ref="S15:V15"/>
    <mergeCell ref="W15:Z15"/>
    <mergeCell ref="AA14:AI14"/>
    <mergeCell ref="AA15:AB15"/>
    <mergeCell ref="AC15:AD15"/>
    <mergeCell ref="AE15:AF15"/>
    <mergeCell ref="AG15:AH15"/>
    <mergeCell ref="W17:Z17"/>
    <mergeCell ref="O16:R16"/>
    <mergeCell ref="B16:F16"/>
    <mergeCell ref="B17:F17"/>
    <mergeCell ref="G17:J17"/>
    <mergeCell ref="K17:N17"/>
    <mergeCell ref="O17:R17"/>
    <mergeCell ref="G16:J16"/>
    <mergeCell ref="K16:N16"/>
    <mergeCell ref="S16:V16"/>
    <mergeCell ref="W18:Z18"/>
    <mergeCell ref="B19:F19"/>
    <mergeCell ref="G19:J19"/>
    <mergeCell ref="K19:N19"/>
    <mergeCell ref="O19:R19"/>
    <mergeCell ref="S19:V19"/>
    <mergeCell ref="W19:Z19"/>
    <mergeCell ref="B18:F18"/>
    <mergeCell ref="G18:J18"/>
    <mergeCell ref="K18:N18"/>
    <mergeCell ref="B23:F23"/>
    <mergeCell ref="B20:F20"/>
    <mergeCell ref="G20:J20"/>
    <mergeCell ref="K20:N20"/>
    <mergeCell ref="B22:F22"/>
    <mergeCell ref="G22:J22"/>
    <mergeCell ref="K22:N22"/>
    <mergeCell ref="G23:J23"/>
    <mergeCell ref="K23:N23"/>
    <mergeCell ref="B21:F21"/>
    <mergeCell ref="G21:J21"/>
    <mergeCell ref="K21:N21"/>
    <mergeCell ref="O21:R21"/>
    <mergeCell ref="W23:Z23"/>
    <mergeCell ref="AA23:AF23"/>
    <mergeCell ref="O23:R23"/>
    <mergeCell ref="W20:Z20"/>
    <mergeCell ref="S21:V21"/>
    <mergeCell ref="W21:Z21"/>
    <mergeCell ref="O20:R20"/>
    <mergeCell ref="S20:V20"/>
    <mergeCell ref="AG21:AI21"/>
    <mergeCell ref="S22:V22"/>
    <mergeCell ref="W22:Z22"/>
    <mergeCell ref="AA22:AF22"/>
    <mergeCell ref="AG22:AI22"/>
    <mergeCell ref="AA21:AF21"/>
    <mergeCell ref="AG23:AI23"/>
    <mergeCell ref="B24:F24"/>
    <mergeCell ref="G24:J24"/>
    <mergeCell ref="K24:N24"/>
    <mergeCell ref="O24:R24"/>
    <mergeCell ref="S24:V24"/>
    <mergeCell ref="W24:Z24"/>
    <mergeCell ref="AA24:AF24"/>
    <mergeCell ref="AG24:AI24"/>
    <mergeCell ref="S23:V23"/>
    <mergeCell ref="B25:F25"/>
    <mergeCell ref="G25:J25"/>
    <mergeCell ref="K25:N25"/>
    <mergeCell ref="O25:R25"/>
    <mergeCell ref="S25:V25"/>
    <mergeCell ref="W25:Z25"/>
    <mergeCell ref="AA25:AF25"/>
    <mergeCell ref="AG25:AI25"/>
    <mergeCell ref="W26:Z26"/>
    <mergeCell ref="AA26:AF26"/>
    <mergeCell ref="AG26:AI26"/>
    <mergeCell ref="O26:R26"/>
    <mergeCell ref="S26:V26"/>
    <mergeCell ref="B26:F26"/>
    <mergeCell ref="G26:J26"/>
    <mergeCell ref="K26:N26"/>
    <mergeCell ref="W29:Z29"/>
    <mergeCell ref="O27:R27"/>
    <mergeCell ref="B28:F28"/>
    <mergeCell ref="G28:J28"/>
    <mergeCell ref="K28:N28"/>
    <mergeCell ref="O28:R28"/>
    <mergeCell ref="B27:F27"/>
    <mergeCell ref="G27:J27"/>
    <mergeCell ref="K27:N27"/>
    <mergeCell ref="W27:Z27"/>
    <mergeCell ref="AA27:AI27"/>
    <mergeCell ref="S27:V27"/>
    <mergeCell ref="S28:V28"/>
    <mergeCell ref="W28:Z28"/>
    <mergeCell ref="AA28:AI28"/>
    <mergeCell ref="K31:N31"/>
    <mergeCell ref="O31:R31"/>
    <mergeCell ref="K29:N29"/>
    <mergeCell ref="S29:V29"/>
    <mergeCell ref="S31:V31"/>
    <mergeCell ref="W31:Z31"/>
    <mergeCell ref="AA29:AB29"/>
    <mergeCell ref="B29:F29"/>
    <mergeCell ref="G29:J29"/>
    <mergeCell ref="W30:Z30"/>
    <mergeCell ref="S30:V30"/>
    <mergeCell ref="O29:R29"/>
    <mergeCell ref="O30:R30"/>
    <mergeCell ref="K30:N30"/>
    <mergeCell ref="B31:F31"/>
    <mergeCell ref="G31:J31"/>
    <mergeCell ref="W32:Z32"/>
    <mergeCell ref="B33:F33"/>
    <mergeCell ref="G33:J33"/>
    <mergeCell ref="K33:N33"/>
    <mergeCell ref="O33:R33"/>
    <mergeCell ref="S33:V33"/>
    <mergeCell ref="W33:Z33"/>
    <mergeCell ref="B32:F32"/>
    <mergeCell ref="W34:Z34"/>
    <mergeCell ref="G32:J32"/>
    <mergeCell ref="K32:N32"/>
    <mergeCell ref="B34:F34"/>
    <mergeCell ref="G34:J34"/>
    <mergeCell ref="K34:N34"/>
    <mergeCell ref="S32:V32"/>
    <mergeCell ref="S34:V34"/>
    <mergeCell ref="O32:R32"/>
    <mergeCell ref="O34:R34"/>
    <mergeCell ref="S44:V44"/>
    <mergeCell ref="S39:V39"/>
    <mergeCell ref="O44:R44"/>
    <mergeCell ref="K44:N44"/>
    <mergeCell ref="S41:V41"/>
    <mergeCell ref="K43:N43"/>
    <mergeCell ref="K37:N37"/>
    <mergeCell ref="S43:V43"/>
    <mergeCell ref="S37:V37"/>
    <mergeCell ref="O37:R37"/>
    <mergeCell ref="O41:R41"/>
    <mergeCell ref="K36:N36"/>
    <mergeCell ref="A35:A48"/>
    <mergeCell ref="B35:F35"/>
    <mergeCell ref="G35:J35"/>
    <mergeCell ref="K35:N35"/>
    <mergeCell ref="G41:J41"/>
    <mergeCell ref="K41:N41"/>
    <mergeCell ref="B41:F41"/>
    <mergeCell ref="K46:N46"/>
    <mergeCell ref="G37:J37"/>
    <mergeCell ref="AG35:AI35"/>
    <mergeCell ref="S36:V36"/>
    <mergeCell ref="W36:Z36"/>
    <mergeCell ref="AA36:AF36"/>
    <mergeCell ref="AG36:AI36"/>
    <mergeCell ref="S35:V35"/>
    <mergeCell ref="W35:Z35"/>
    <mergeCell ref="AG37:AI37"/>
    <mergeCell ref="B38:F38"/>
    <mergeCell ref="G38:J38"/>
    <mergeCell ref="K38:N38"/>
    <mergeCell ref="O38:R38"/>
    <mergeCell ref="S38:V38"/>
    <mergeCell ref="W38:Z38"/>
    <mergeCell ref="AA38:AF38"/>
    <mergeCell ref="AG38:AI38"/>
    <mergeCell ref="W37:Z37"/>
    <mergeCell ref="B39:F39"/>
    <mergeCell ref="G39:J39"/>
    <mergeCell ref="K39:N39"/>
    <mergeCell ref="O39:R39"/>
    <mergeCell ref="W39:Z39"/>
    <mergeCell ref="AA39:AF39"/>
    <mergeCell ref="AG39:AI39"/>
    <mergeCell ref="AA40:AF40"/>
    <mergeCell ref="AG40:AI40"/>
    <mergeCell ref="W40:Z40"/>
    <mergeCell ref="B40:F40"/>
    <mergeCell ref="G40:J40"/>
    <mergeCell ref="K40:N40"/>
    <mergeCell ref="S40:V40"/>
    <mergeCell ref="W41:Z41"/>
    <mergeCell ref="O40:R40"/>
    <mergeCell ref="AA41:AI41"/>
    <mergeCell ref="B42:F42"/>
    <mergeCell ref="G42:J42"/>
    <mergeCell ref="K42:N42"/>
    <mergeCell ref="O42:R42"/>
    <mergeCell ref="S42:V42"/>
    <mergeCell ref="W42:Z42"/>
    <mergeCell ref="AA42:AI42"/>
    <mergeCell ref="W43:Z43"/>
    <mergeCell ref="B45:F45"/>
    <mergeCell ref="G45:J45"/>
    <mergeCell ref="K45:N45"/>
    <mergeCell ref="O45:R45"/>
    <mergeCell ref="S45:V45"/>
    <mergeCell ref="W45:Z45"/>
    <mergeCell ref="O43:R43"/>
    <mergeCell ref="B43:F43"/>
    <mergeCell ref="W44:Z44"/>
    <mergeCell ref="B47:F47"/>
    <mergeCell ref="G47:J47"/>
    <mergeCell ref="K47:N47"/>
    <mergeCell ref="O47:R47"/>
    <mergeCell ref="B46:F46"/>
    <mergeCell ref="G46:J46"/>
    <mergeCell ref="W48:Z48"/>
    <mergeCell ref="O48:R48"/>
    <mergeCell ref="O46:R46"/>
    <mergeCell ref="S48:V48"/>
    <mergeCell ref="S46:V46"/>
    <mergeCell ref="W46:Z46"/>
    <mergeCell ref="S47:V47"/>
    <mergeCell ref="W47:Z47"/>
    <mergeCell ref="A49:A62"/>
    <mergeCell ref="B49:F49"/>
    <mergeCell ref="G49:J49"/>
    <mergeCell ref="K49:N49"/>
    <mergeCell ref="B53:F53"/>
    <mergeCell ref="G53:J53"/>
    <mergeCell ref="K53:N53"/>
    <mergeCell ref="B56:F56"/>
    <mergeCell ref="G56:J56"/>
    <mergeCell ref="K56:N56"/>
    <mergeCell ref="O49:R49"/>
    <mergeCell ref="S49:V49"/>
    <mergeCell ref="W49:Z49"/>
    <mergeCell ref="B51:F51"/>
    <mergeCell ref="O50:R50"/>
    <mergeCell ref="G51:J51"/>
    <mergeCell ref="K51:N51"/>
    <mergeCell ref="W51:Z51"/>
    <mergeCell ref="S51:V51"/>
    <mergeCell ref="O51:R51"/>
    <mergeCell ref="B50:F50"/>
    <mergeCell ref="G50:J50"/>
    <mergeCell ref="K50:N50"/>
    <mergeCell ref="G48:J48"/>
    <mergeCell ref="K48:N48"/>
    <mergeCell ref="B48:F48"/>
    <mergeCell ref="AG52:AI52"/>
    <mergeCell ref="AA49:AF49"/>
    <mergeCell ref="AG49:AI49"/>
    <mergeCell ref="S50:V50"/>
    <mergeCell ref="W50:Z50"/>
    <mergeCell ref="AA50:AF50"/>
    <mergeCell ref="AG50:AI50"/>
    <mergeCell ref="AA51:AF51"/>
    <mergeCell ref="AG51:AI51"/>
    <mergeCell ref="S52:V52"/>
    <mergeCell ref="B52:F52"/>
    <mergeCell ref="G52:J52"/>
    <mergeCell ref="K52:N52"/>
    <mergeCell ref="O52:R52"/>
    <mergeCell ref="W52:Z52"/>
    <mergeCell ref="AA52:AF52"/>
    <mergeCell ref="B55:F55"/>
    <mergeCell ref="G55:J55"/>
    <mergeCell ref="K55:N55"/>
    <mergeCell ref="O53:R53"/>
    <mergeCell ref="S53:V53"/>
    <mergeCell ref="B54:F54"/>
    <mergeCell ref="G54:J54"/>
    <mergeCell ref="K54:N54"/>
    <mergeCell ref="AG53:AI53"/>
    <mergeCell ref="W54:Z54"/>
    <mergeCell ref="AA54:AF54"/>
    <mergeCell ref="AG54:AI54"/>
    <mergeCell ref="W53:Z53"/>
    <mergeCell ref="O54:R54"/>
    <mergeCell ref="S57:V57"/>
    <mergeCell ref="W57:Z57"/>
    <mergeCell ref="O55:R55"/>
    <mergeCell ref="S54:V54"/>
    <mergeCell ref="K59:N59"/>
    <mergeCell ref="O59:R59"/>
    <mergeCell ref="AA55:AI55"/>
    <mergeCell ref="S56:V56"/>
    <mergeCell ref="W56:Z56"/>
    <mergeCell ref="AA56:AI56"/>
    <mergeCell ref="O56:R56"/>
    <mergeCell ref="K57:N57"/>
    <mergeCell ref="S55:V55"/>
    <mergeCell ref="W55:Z55"/>
    <mergeCell ref="S59:V59"/>
    <mergeCell ref="W59:Z59"/>
    <mergeCell ref="B57:F57"/>
    <mergeCell ref="G57:J57"/>
    <mergeCell ref="K58:N58"/>
    <mergeCell ref="S58:V58"/>
    <mergeCell ref="O57:R57"/>
    <mergeCell ref="O58:R58"/>
    <mergeCell ref="B59:F59"/>
    <mergeCell ref="G59:J59"/>
    <mergeCell ref="W60:Z60"/>
    <mergeCell ref="B61:F61"/>
    <mergeCell ref="G61:J61"/>
    <mergeCell ref="K61:N61"/>
    <mergeCell ref="O61:R61"/>
    <mergeCell ref="S61:V61"/>
    <mergeCell ref="W61:Z61"/>
    <mergeCell ref="B60:F60"/>
    <mergeCell ref="G60:J60"/>
    <mergeCell ref="K60:N60"/>
    <mergeCell ref="B62:F62"/>
    <mergeCell ref="G62:J62"/>
    <mergeCell ref="K62:N62"/>
    <mergeCell ref="S60:V60"/>
    <mergeCell ref="S62:V62"/>
    <mergeCell ref="O62:R62"/>
    <mergeCell ref="O60:R60"/>
    <mergeCell ref="W62:Z62"/>
    <mergeCell ref="A63:A76"/>
    <mergeCell ref="B63:F63"/>
    <mergeCell ref="G63:J63"/>
    <mergeCell ref="K63:N63"/>
    <mergeCell ref="O63:R63"/>
    <mergeCell ref="S63:V63"/>
    <mergeCell ref="W63:Z63"/>
    <mergeCell ref="B65:F65"/>
    <mergeCell ref="B64:F64"/>
    <mergeCell ref="G64:J64"/>
    <mergeCell ref="K64:N64"/>
    <mergeCell ref="O64:R64"/>
    <mergeCell ref="G65:J65"/>
    <mergeCell ref="K65:N65"/>
    <mergeCell ref="O65:R65"/>
    <mergeCell ref="AA63:AF63"/>
    <mergeCell ref="S65:V65"/>
    <mergeCell ref="AG63:AI63"/>
    <mergeCell ref="S64:V64"/>
    <mergeCell ref="W64:Z64"/>
    <mergeCell ref="AA64:AF64"/>
    <mergeCell ref="AG64:AI64"/>
    <mergeCell ref="W65:Z65"/>
    <mergeCell ref="AA65:AF65"/>
    <mergeCell ref="AG65:AI65"/>
    <mergeCell ref="B66:F66"/>
    <mergeCell ref="G66:J66"/>
    <mergeCell ref="K66:N66"/>
    <mergeCell ref="O66:R66"/>
    <mergeCell ref="S66:V66"/>
    <mergeCell ref="W66:Z66"/>
    <mergeCell ref="AA66:AF66"/>
    <mergeCell ref="AG66:AI66"/>
    <mergeCell ref="B67:F67"/>
    <mergeCell ref="G67:J67"/>
    <mergeCell ref="K67:N67"/>
    <mergeCell ref="O67:R67"/>
    <mergeCell ref="S67:V67"/>
    <mergeCell ref="W67:Z67"/>
    <mergeCell ref="AA67:AF67"/>
    <mergeCell ref="AG67:AI67"/>
    <mergeCell ref="O68:R68"/>
    <mergeCell ref="AG68:AI68"/>
    <mergeCell ref="B68:F68"/>
    <mergeCell ref="G68:J68"/>
    <mergeCell ref="K68:N68"/>
    <mergeCell ref="S68:V68"/>
    <mergeCell ref="W68:Z68"/>
    <mergeCell ref="AA68:AF68"/>
    <mergeCell ref="AA69:AI69"/>
    <mergeCell ref="AA70:AI70"/>
    <mergeCell ref="B69:F69"/>
    <mergeCell ref="G69:J69"/>
    <mergeCell ref="O69:R69"/>
    <mergeCell ref="B70:F70"/>
    <mergeCell ref="G70:J70"/>
    <mergeCell ref="K70:N70"/>
    <mergeCell ref="O70:R70"/>
    <mergeCell ref="K69:N69"/>
    <mergeCell ref="S71:V71"/>
    <mergeCell ref="B73:F73"/>
    <mergeCell ref="G73:J73"/>
    <mergeCell ref="K73:N73"/>
    <mergeCell ref="O71:R71"/>
    <mergeCell ref="B71:F71"/>
    <mergeCell ref="G71:J71"/>
    <mergeCell ref="K71:N71"/>
    <mergeCell ref="B72:F72"/>
    <mergeCell ref="W76:Z76"/>
    <mergeCell ref="O74:R74"/>
    <mergeCell ref="B75:F75"/>
    <mergeCell ref="G75:J75"/>
    <mergeCell ref="K75:N75"/>
    <mergeCell ref="O75:R75"/>
    <mergeCell ref="B74:F74"/>
    <mergeCell ref="S75:V75"/>
    <mergeCell ref="W75:Z75"/>
    <mergeCell ref="W73:Z73"/>
    <mergeCell ref="G72:J72"/>
    <mergeCell ref="S74:V74"/>
    <mergeCell ref="W74:Z74"/>
    <mergeCell ref="O73:R73"/>
    <mergeCell ref="S73:V73"/>
    <mergeCell ref="B84:F84"/>
    <mergeCell ref="G84:J84"/>
    <mergeCell ref="K84:N84"/>
    <mergeCell ref="G74:J74"/>
    <mergeCell ref="K74:N74"/>
    <mergeCell ref="W78:Z78"/>
    <mergeCell ref="A77:A90"/>
    <mergeCell ref="B77:F77"/>
    <mergeCell ref="G77:J77"/>
    <mergeCell ref="K77:N77"/>
    <mergeCell ref="B81:F81"/>
    <mergeCell ref="G81:J81"/>
    <mergeCell ref="K81:N81"/>
    <mergeCell ref="S84:V84"/>
    <mergeCell ref="S78:V78"/>
    <mergeCell ref="W84:Z84"/>
    <mergeCell ref="S83:V83"/>
    <mergeCell ref="W83:Z83"/>
    <mergeCell ref="O79:R79"/>
    <mergeCell ref="W79:Z79"/>
    <mergeCell ref="O77:R77"/>
    <mergeCell ref="S77:V77"/>
    <mergeCell ref="S79:V79"/>
    <mergeCell ref="B76:F76"/>
    <mergeCell ref="B78:F78"/>
    <mergeCell ref="G78:J78"/>
    <mergeCell ref="K78:N78"/>
    <mergeCell ref="G76:J76"/>
    <mergeCell ref="K76:N76"/>
    <mergeCell ref="O78:R78"/>
    <mergeCell ref="AG78:AI78"/>
    <mergeCell ref="W77:Z77"/>
    <mergeCell ref="AG79:AI79"/>
    <mergeCell ref="B80:F80"/>
    <mergeCell ref="G80:J80"/>
    <mergeCell ref="K80:N80"/>
    <mergeCell ref="O80:R80"/>
    <mergeCell ref="S80:V80"/>
    <mergeCell ref="W80:Z80"/>
    <mergeCell ref="AA80:AF80"/>
    <mergeCell ref="AG80:AI80"/>
    <mergeCell ref="B79:F79"/>
    <mergeCell ref="AG81:AI81"/>
    <mergeCell ref="W82:Z82"/>
    <mergeCell ref="AA82:AF82"/>
    <mergeCell ref="AG82:AI82"/>
    <mergeCell ref="W81:Z81"/>
    <mergeCell ref="AA81:AF81"/>
    <mergeCell ref="G79:J79"/>
    <mergeCell ref="K79:N79"/>
    <mergeCell ref="W85:Z85"/>
    <mergeCell ref="O83:R83"/>
    <mergeCell ref="S82:V82"/>
    <mergeCell ref="B82:F82"/>
    <mergeCell ref="G82:J82"/>
    <mergeCell ref="K82:N82"/>
    <mergeCell ref="O82:R82"/>
    <mergeCell ref="B83:F83"/>
    <mergeCell ref="G83:J83"/>
    <mergeCell ref="K83:N83"/>
    <mergeCell ref="W86:Z86"/>
    <mergeCell ref="B85:F85"/>
    <mergeCell ref="G85:J85"/>
    <mergeCell ref="O85:R85"/>
    <mergeCell ref="B86:F86"/>
    <mergeCell ref="G86:J86"/>
    <mergeCell ref="K86:N86"/>
    <mergeCell ref="O86:R86"/>
    <mergeCell ref="K85:N85"/>
    <mergeCell ref="S85:V85"/>
    <mergeCell ref="W89:Z89"/>
    <mergeCell ref="B88:F88"/>
    <mergeCell ref="G88:J88"/>
    <mergeCell ref="K88:N88"/>
    <mergeCell ref="B89:F89"/>
    <mergeCell ref="G89:J89"/>
    <mergeCell ref="K89:N89"/>
    <mergeCell ref="O89:R89"/>
    <mergeCell ref="O88:R88"/>
    <mergeCell ref="S88:V88"/>
    <mergeCell ref="G90:J90"/>
    <mergeCell ref="K90:N90"/>
    <mergeCell ref="K93:N93"/>
    <mergeCell ref="S89:V89"/>
    <mergeCell ref="O90:R90"/>
    <mergeCell ref="S90:V90"/>
    <mergeCell ref="W90:Z90"/>
    <mergeCell ref="A91:A104"/>
    <mergeCell ref="B91:F91"/>
    <mergeCell ref="G91:J91"/>
    <mergeCell ref="K91:N91"/>
    <mergeCell ref="O91:R91"/>
    <mergeCell ref="S91:V91"/>
    <mergeCell ref="W91:Z91"/>
    <mergeCell ref="B93:F93"/>
    <mergeCell ref="B90:F90"/>
    <mergeCell ref="AA91:AF91"/>
    <mergeCell ref="AG91:AI91"/>
    <mergeCell ref="B92:F92"/>
    <mergeCell ref="G92:J92"/>
    <mergeCell ref="K92:N92"/>
    <mergeCell ref="O92:R92"/>
    <mergeCell ref="S92:V92"/>
    <mergeCell ref="W92:Z92"/>
    <mergeCell ref="AA92:AF92"/>
    <mergeCell ref="AG92:AI92"/>
    <mergeCell ref="W94:Z94"/>
    <mergeCell ref="AA94:AF94"/>
    <mergeCell ref="G93:J93"/>
    <mergeCell ref="W93:Z93"/>
    <mergeCell ref="S93:V93"/>
    <mergeCell ref="O93:R93"/>
    <mergeCell ref="S94:V94"/>
    <mergeCell ref="B94:F94"/>
    <mergeCell ref="G94:J94"/>
    <mergeCell ref="K94:N94"/>
    <mergeCell ref="O94:R94"/>
    <mergeCell ref="AA95:AF95"/>
    <mergeCell ref="AG95:AI95"/>
    <mergeCell ref="AA93:AF93"/>
    <mergeCell ref="AG93:AI93"/>
    <mergeCell ref="B96:F96"/>
    <mergeCell ref="G96:J96"/>
    <mergeCell ref="K96:N96"/>
    <mergeCell ref="AG94:AI94"/>
    <mergeCell ref="B95:F95"/>
    <mergeCell ref="G95:J95"/>
    <mergeCell ref="K95:N95"/>
    <mergeCell ref="O95:R95"/>
    <mergeCell ref="S95:V95"/>
    <mergeCell ref="W95:Z95"/>
    <mergeCell ref="W96:Z96"/>
    <mergeCell ref="AA96:AF96"/>
    <mergeCell ref="AA97:AI97"/>
    <mergeCell ref="O96:R96"/>
    <mergeCell ref="AG96:AI96"/>
    <mergeCell ref="W98:Z98"/>
    <mergeCell ref="AA98:AI98"/>
    <mergeCell ref="B97:F97"/>
    <mergeCell ref="G97:J97"/>
    <mergeCell ref="O97:R97"/>
    <mergeCell ref="B98:F98"/>
    <mergeCell ref="G98:J98"/>
    <mergeCell ref="K98:N98"/>
    <mergeCell ref="O98:R98"/>
    <mergeCell ref="K97:N97"/>
    <mergeCell ref="W101:Z101"/>
    <mergeCell ref="O99:R99"/>
    <mergeCell ref="B99:F99"/>
    <mergeCell ref="G99:J99"/>
    <mergeCell ref="K99:N99"/>
    <mergeCell ref="G100:J100"/>
    <mergeCell ref="K100:N100"/>
    <mergeCell ref="B102:F102"/>
    <mergeCell ref="G102:J102"/>
    <mergeCell ref="K102:N102"/>
    <mergeCell ref="S99:V99"/>
    <mergeCell ref="B101:F101"/>
    <mergeCell ref="G101:J101"/>
    <mergeCell ref="K101:N101"/>
    <mergeCell ref="O101:R101"/>
    <mergeCell ref="S101:V101"/>
    <mergeCell ref="B100:F100"/>
    <mergeCell ref="B103:F103"/>
    <mergeCell ref="G103:J103"/>
    <mergeCell ref="K103:N103"/>
    <mergeCell ref="O103:R103"/>
    <mergeCell ref="W104:Z104"/>
    <mergeCell ref="O104:R104"/>
    <mergeCell ref="O102:R102"/>
    <mergeCell ref="S104:V104"/>
    <mergeCell ref="S102:V102"/>
    <mergeCell ref="W102:Z102"/>
    <mergeCell ref="S103:V103"/>
    <mergeCell ref="W103:Z103"/>
    <mergeCell ref="K118:N118"/>
    <mergeCell ref="B114:F114"/>
    <mergeCell ref="G114:J114"/>
    <mergeCell ref="K114:N114"/>
    <mergeCell ref="G116:J116"/>
    <mergeCell ref="K116:N116"/>
    <mergeCell ref="B115:F115"/>
    <mergeCell ref="G115:J115"/>
    <mergeCell ref="K115:N115"/>
    <mergeCell ref="G118:J118"/>
    <mergeCell ref="B107:F107"/>
    <mergeCell ref="O106:R106"/>
    <mergeCell ref="G107:J107"/>
    <mergeCell ref="K107:N107"/>
    <mergeCell ref="O107:R107"/>
    <mergeCell ref="B104:F104"/>
    <mergeCell ref="B106:F106"/>
    <mergeCell ref="G106:J106"/>
    <mergeCell ref="K106:N106"/>
    <mergeCell ref="B105:F105"/>
    <mergeCell ref="G105:J105"/>
    <mergeCell ref="K105:N105"/>
    <mergeCell ref="G104:J104"/>
    <mergeCell ref="K104:N104"/>
    <mergeCell ref="AG105:AI105"/>
    <mergeCell ref="S106:V106"/>
    <mergeCell ref="W106:Z106"/>
    <mergeCell ref="AA106:AF106"/>
    <mergeCell ref="AG106:AI106"/>
    <mergeCell ref="S105:V105"/>
    <mergeCell ref="W105:Z105"/>
    <mergeCell ref="AG108:AI108"/>
    <mergeCell ref="B108:F108"/>
    <mergeCell ref="G108:J108"/>
    <mergeCell ref="K108:N108"/>
    <mergeCell ref="O108:R108"/>
    <mergeCell ref="AG109:AI109"/>
    <mergeCell ref="W107:Z107"/>
    <mergeCell ref="W109:Z109"/>
    <mergeCell ref="G109:J109"/>
    <mergeCell ref="K109:N109"/>
    <mergeCell ref="S108:V108"/>
    <mergeCell ref="O109:R109"/>
    <mergeCell ref="AG107:AI107"/>
    <mergeCell ref="W108:Z108"/>
    <mergeCell ref="AA108:AF108"/>
    <mergeCell ref="W110:Z110"/>
    <mergeCell ref="AA110:AF110"/>
    <mergeCell ref="AG110:AI110"/>
    <mergeCell ref="O110:R110"/>
    <mergeCell ref="B110:F110"/>
    <mergeCell ref="G110:J110"/>
    <mergeCell ref="K110:N110"/>
    <mergeCell ref="G113:J113"/>
    <mergeCell ref="K113:N113"/>
    <mergeCell ref="K111:N111"/>
    <mergeCell ref="B113:F113"/>
    <mergeCell ref="B112:F112"/>
    <mergeCell ref="G112:J112"/>
    <mergeCell ref="K112:N112"/>
    <mergeCell ref="O113:R113"/>
    <mergeCell ref="W111:Z111"/>
    <mergeCell ref="AA111:AI111"/>
    <mergeCell ref="S112:V112"/>
    <mergeCell ref="W112:Z112"/>
    <mergeCell ref="AA112:AI112"/>
    <mergeCell ref="O111:R111"/>
    <mergeCell ref="W113:Z113"/>
    <mergeCell ref="O112:R112"/>
    <mergeCell ref="S113:V113"/>
    <mergeCell ref="O115:R115"/>
    <mergeCell ref="S115:V115"/>
    <mergeCell ref="W115:Z115"/>
    <mergeCell ref="W114:Z114"/>
    <mergeCell ref="O114:R114"/>
    <mergeCell ref="S114:V114"/>
    <mergeCell ref="A105:A118"/>
    <mergeCell ref="B109:F109"/>
    <mergeCell ref="W116:Z116"/>
    <mergeCell ref="B117:F117"/>
    <mergeCell ref="G117:J117"/>
    <mergeCell ref="K117:N117"/>
    <mergeCell ref="O117:R117"/>
    <mergeCell ref="S117:V117"/>
    <mergeCell ref="B116:F116"/>
    <mergeCell ref="B118:F118"/>
    <mergeCell ref="K119:N119"/>
    <mergeCell ref="B120:F120"/>
    <mergeCell ref="G120:J120"/>
    <mergeCell ref="K120:N120"/>
    <mergeCell ref="A119:A132"/>
    <mergeCell ref="B119:F119"/>
    <mergeCell ref="G119:J119"/>
    <mergeCell ref="G121:J121"/>
    <mergeCell ref="B132:F132"/>
    <mergeCell ref="K121:N121"/>
    <mergeCell ref="B130:F130"/>
    <mergeCell ref="O120:R120"/>
    <mergeCell ref="O118:R118"/>
    <mergeCell ref="G130:J130"/>
    <mergeCell ref="K130:N130"/>
    <mergeCell ref="O130:R130"/>
    <mergeCell ref="O127:R127"/>
    <mergeCell ref="G127:J127"/>
    <mergeCell ref="K127:N127"/>
    <mergeCell ref="O116:R116"/>
    <mergeCell ref="O119:R119"/>
    <mergeCell ref="W121:Z121"/>
    <mergeCell ref="AA121:AF121"/>
    <mergeCell ref="W119:Z119"/>
    <mergeCell ref="S116:V116"/>
    <mergeCell ref="S118:V118"/>
    <mergeCell ref="S119:V119"/>
    <mergeCell ref="W118:Z118"/>
    <mergeCell ref="W117:Z117"/>
    <mergeCell ref="AG119:AI119"/>
    <mergeCell ref="S120:V120"/>
    <mergeCell ref="W120:Z120"/>
    <mergeCell ref="AA120:AF120"/>
    <mergeCell ref="AG120:AI120"/>
    <mergeCell ref="AA119:AF119"/>
    <mergeCell ref="AG121:AI121"/>
    <mergeCell ref="B122:F122"/>
    <mergeCell ref="G122:J122"/>
    <mergeCell ref="K122:N122"/>
    <mergeCell ref="O122:R122"/>
    <mergeCell ref="S122:V122"/>
    <mergeCell ref="W122:Z122"/>
    <mergeCell ref="AA122:AF122"/>
    <mergeCell ref="AG122:AI122"/>
    <mergeCell ref="B121:F121"/>
    <mergeCell ref="AA123:AF123"/>
    <mergeCell ref="AG123:AI123"/>
    <mergeCell ref="B123:F123"/>
    <mergeCell ref="G123:J123"/>
    <mergeCell ref="K123:N123"/>
    <mergeCell ref="O123:R123"/>
    <mergeCell ref="AA124:AF124"/>
    <mergeCell ref="AG124:AI124"/>
    <mergeCell ref="B124:F124"/>
    <mergeCell ref="G124:J124"/>
    <mergeCell ref="K124:N124"/>
    <mergeCell ref="AA125:AI125"/>
    <mergeCell ref="B126:F126"/>
    <mergeCell ref="G126:J126"/>
    <mergeCell ref="K126:N126"/>
    <mergeCell ref="O126:R126"/>
    <mergeCell ref="S126:V126"/>
    <mergeCell ref="W126:Z126"/>
    <mergeCell ref="AA126:AI126"/>
    <mergeCell ref="B125:F125"/>
    <mergeCell ref="G125:J125"/>
    <mergeCell ref="W129:Z129"/>
    <mergeCell ref="O128:R128"/>
    <mergeCell ref="B128:F128"/>
    <mergeCell ref="G128:J128"/>
    <mergeCell ref="B129:F129"/>
    <mergeCell ref="S128:V128"/>
    <mergeCell ref="K128:N128"/>
    <mergeCell ref="W128:Z128"/>
    <mergeCell ref="G129:J129"/>
    <mergeCell ref="K129:N129"/>
    <mergeCell ref="S129:V129"/>
    <mergeCell ref="O129:R129"/>
    <mergeCell ref="B131:F131"/>
    <mergeCell ref="G131:J131"/>
    <mergeCell ref="K131:N131"/>
    <mergeCell ref="O131:R131"/>
    <mergeCell ref="K142:N142"/>
    <mergeCell ref="S135:V135"/>
    <mergeCell ref="O135:R135"/>
    <mergeCell ref="O142:R142"/>
    <mergeCell ref="O139:R139"/>
    <mergeCell ref="S136:V136"/>
    <mergeCell ref="S142:V142"/>
    <mergeCell ref="K137:N137"/>
    <mergeCell ref="O137:R137"/>
    <mergeCell ref="W155:Z155"/>
    <mergeCell ref="W132:Z132"/>
    <mergeCell ref="O133:R133"/>
    <mergeCell ref="S133:V133"/>
    <mergeCell ref="O134:R134"/>
    <mergeCell ref="O132:R132"/>
    <mergeCell ref="S132:V132"/>
    <mergeCell ref="O136:R136"/>
    <mergeCell ref="O155:R155"/>
    <mergeCell ref="S155:V155"/>
    <mergeCell ref="A133:A146"/>
    <mergeCell ref="B133:F133"/>
    <mergeCell ref="G133:J133"/>
    <mergeCell ref="K133:N133"/>
    <mergeCell ref="B139:F139"/>
    <mergeCell ref="G139:J139"/>
    <mergeCell ref="K139:N139"/>
    <mergeCell ref="B136:F136"/>
    <mergeCell ref="B135:F135"/>
    <mergeCell ref="B141:F141"/>
    <mergeCell ref="B134:F134"/>
    <mergeCell ref="G134:J134"/>
    <mergeCell ref="K134:N134"/>
    <mergeCell ref="G132:J132"/>
    <mergeCell ref="K132:N132"/>
    <mergeCell ref="AG133:AI133"/>
    <mergeCell ref="S134:V134"/>
    <mergeCell ref="W134:Z134"/>
    <mergeCell ref="AA134:AF134"/>
    <mergeCell ref="AG134:AI134"/>
    <mergeCell ref="W133:Z133"/>
    <mergeCell ref="G135:J135"/>
    <mergeCell ref="K135:N135"/>
    <mergeCell ref="G136:J136"/>
    <mergeCell ref="K136:N136"/>
    <mergeCell ref="G141:J141"/>
    <mergeCell ref="K141:N141"/>
    <mergeCell ref="O141:R141"/>
    <mergeCell ref="W135:Z135"/>
    <mergeCell ref="S137:V137"/>
    <mergeCell ref="W137:Z137"/>
    <mergeCell ref="O138:R138"/>
    <mergeCell ref="S140:V140"/>
    <mergeCell ref="W140:Z140"/>
    <mergeCell ref="S141:V141"/>
    <mergeCell ref="AG135:AI135"/>
    <mergeCell ref="AA136:AF136"/>
    <mergeCell ref="W136:Z136"/>
    <mergeCell ref="AG136:AI136"/>
    <mergeCell ref="AG137:AI137"/>
    <mergeCell ref="AA138:AF138"/>
    <mergeCell ref="AG138:AI138"/>
    <mergeCell ref="B138:F138"/>
    <mergeCell ref="G138:J138"/>
    <mergeCell ref="K138:N138"/>
    <mergeCell ref="S138:V138"/>
    <mergeCell ref="W138:Z138"/>
    <mergeCell ref="B137:F137"/>
    <mergeCell ref="G137:J137"/>
    <mergeCell ref="AA140:AI140"/>
    <mergeCell ref="B142:F142"/>
    <mergeCell ref="G142:J142"/>
    <mergeCell ref="S139:V139"/>
    <mergeCell ref="W139:Z139"/>
    <mergeCell ref="W141:Z141"/>
    <mergeCell ref="B140:F140"/>
    <mergeCell ref="G140:J140"/>
    <mergeCell ref="K140:N140"/>
    <mergeCell ref="O140:R140"/>
    <mergeCell ref="B143:F143"/>
    <mergeCell ref="G143:J143"/>
    <mergeCell ref="K143:N143"/>
    <mergeCell ref="O143:R143"/>
    <mergeCell ref="G145:J145"/>
    <mergeCell ref="K145:N145"/>
    <mergeCell ref="O145:R145"/>
    <mergeCell ref="O144:R144"/>
    <mergeCell ref="S145:V145"/>
    <mergeCell ref="W145:Z145"/>
    <mergeCell ref="S144:V144"/>
    <mergeCell ref="W144:Z144"/>
    <mergeCell ref="S127:V127"/>
    <mergeCell ref="W127:Z127"/>
    <mergeCell ref="W125:Z125"/>
    <mergeCell ref="W123:Z123"/>
    <mergeCell ref="W142:Z142"/>
    <mergeCell ref="S143:V143"/>
    <mergeCell ref="W143:Z143"/>
    <mergeCell ref="W130:Z130"/>
    <mergeCell ref="S131:V131"/>
    <mergeCell ref="W131:Z131"/>
    <mergeCell ref="S130:V130"/>
    <mergeCell ref="A147:A160"/>
    <mergeCell ref="B147:F147"/>
    <mergeCell ref="G147:J147"/>
    <mergeCell ref="K147:N147"/>
    <mergeCell ref="B155:F155"/>
    <mergeCell ref="G155:J155"/>
    <mergeCell ref="K155:N155"/>
    <mergeCell ref="B158:F158"/>
    <mergeCell ref="G158:J158"/>
    <mergeCell ref="K158:N158"/>
    <mergeCell ref="AA147:AF147"/>
    <mergeCell ref="AG147:AI147"/>
    <mergeCell ref="S148:V148"/>
    <mergeCell ref="W148:Z148"/>
    <mergeCell ref="AA148:AF148"/>
    <mergeCell ref="AG148:AI148"/>
    <mergeCell ref="AG149:AI149"/>
    <mergeCell ref="S150:V150"/>
    <mergeCell ref="W88:Z88"/>
    <mergeCell ref="B148:F148"/>
    <mergeCell ref="G148:J148"/>
    <mergeCell ref="K148:N148"/>
    <mergeCell ref="O148:R148"/>
    <mergeCell ref="K125:N125"/>
    <mergeCell ref="W124:Z124"/>
    <mergeCell ref="B127:F127"/>
    <mergeCell ref="O150:R150"/>
    <mergeCell ref="W87:Z87"/>
    <mergeCell ref="O100:R100"/>
    <mergeCell ref="S100:V100"/>
    <mergeCell ref="W100:Z100"/>
    <mergeCell ref="W99:Z99"/>
    <mergeCell ref="S97:V97"/>
    <mergeCell ref="W97:Z97"/>
    <mergeCell ref="W150:Z150"/>
    <mergeCell ref="O146:R146"/>
    <mergeCell ref="AA150:AF150"/>
    <mergeCell ref="B149:F149"/>
    <mergeCell ref="AG150:AI150"/>
    <mergeCell ref="AA149:AF149"/>
    <mergeCell ref="S149:V149"/>
    <mergeCell ref="O149:R149"/>
    <mergeCell ref="B150:F150"/>
    <mergeCell ref="G150:J150"/>
    <mergeCell ref="K150:N150"/>
    <mergeCell ref="W149:Z149"/>
    <mergeCell ref="AG151:AI151"/>
    <mergeCell ref="B151:F151"/>
    <mergeCell ref="G151:J151"/>
    <mergeCell ref="K151:N151"/>
    <mergeCell ref="O151:R151"/>
    <mergeCell ref="S151:V151"/>
    <mergeCell ref="W151:Z151"/>
    <mergeCell ref="AA151:AF151"/>
    <mergeCell ref="S146:V146"/>
    <mergeCell ref="W146:Z146"/>
    <mergeCell ref="O147:R147"/>
    <mergeCell ref="S147:V147"/>
    <mergeCell ref="W147:Z147"/>
    <mergeCell ref="AG152:AI152"/>
    <mergeCell ref="B152:F152"/>
    <mergeCell ref="G152:J152"/>
    <mergeCell ref="K152:N152"/>
    <mergeCell ref="AA152:AF152"/>
    <mergeCell ref="W58:Z58"/>
    <mergeCell ref="K72:N72"/>
    <mergeCell ref="O72:R72"/>
    <mergeCell ref="S72:V72"/>
    <mergeCell ref="W72:Z72"/>
    <mergeCell ref="W71:Z71"/>
    <mergeCell ref="S69:V69"/>
    <mergeCell ref="W69:Z69"/>
    <mergeCell ref="S70:V70"/>
    <mergeCell ref="W70:Z70"/>
    <mergeCell ref="AA153:AI153"/>
    <mergeCell ref="B154:F154"/>
    <mergeCell ref="G154:J154"/>
    <mergeCell ref="K154:N154"/>
    <mergeCell ref="O154:R154"/>
    <mergeCell ref="S154:V154"/>
    <mergeCell ref="W154:Z154"/>
    <mergeCell ref="AA154:AI154"/>
    <mergeCell ref="B153:F153"/>
    <mergeCell ref="G153:J153"/>
    <mergeCell ref="S153:V153"/>
    <mergeCell ref="W153:Z153"/>
    <mergeCell ref="K153:N153"/>
    <mergeCell ref="S152:V152"/>
    <mergeCell ref="W152:Z152"/>
    <mergeCell ref="O153:R153"/>
    <mergeCell ref="O152:R152"/>
    <mergeCell ref="K87:N87"/>
    <mergeCell ref="G156:J156"/>
    <mergeCell ref="K156:N156"/>
    <mergeCell ref="G149:J149"/>
    <mergeCell ref="K149:N149"/>
    <mergeCell ref="G111:J111"/>
    <mergeCell ref="G146:J146"/>
    <mergeCell ref="K146:N146"/>
    <mergeCell ref="G144:J144"/>
    <mergeCell ref="K144:N144"/>
    <mergeCell ref="S156:V156"/>
    <mergeCell ref="W156:Z156"/>
    <mergeCell ref="B157:F157"/>
    <mergeCell ref="G157:J157"/>
    <mergeCell ref="K157:N157"/>
    <mergeCell ref="O157:R157"/>
    <mergeCell ref="S157:V157"/>
    <mergeCell ref="W157:Z157"/>
    <mergeCell ref="O156:R156"/>
    <mergeCell ref="B156:F156"/>
    <mergeCell ref="A7:A20"/>
    <mergeCell ref="A21:A34"/>
    <mergeCell ref="B44:F44"/>
    <mergeCell ref="G44:J44"/>
    <mergeCell ref="B30:F30"/>
    <mergeCell ref="G30:J30"/>
    <mergeCell ref="B37:F37"/>
    <mergeCell ref="B36:F36"/>
    <mergeCell ref="G36:J36"/>
    <mergeCell ref="G43:J43"/>
    <mergeCell ref="B58:F58"/>
    <mergeCell ref="G58:J58"/>
    <mergeCell ref="B159:F159"/>
    <mergeCell ref="G159:J159"/>
    <mergeCell ref="B87:F87"/>
    <mergeCell ref="G87:J87"/>
    <mergeCell ref="B111:F111"/>
    <mergeCell ref="B146:F146"/>
    <mergeCell ref="B144:F144"/>
    <mergeCell ref="B145:F145"/>
    <mergeCell ref="K159:N159"/>
    <mergeCell ref="O159:R159"/>
    <mergeCell ref="B160:F160"/>
    <mergeCell ref="G160:J160"/>
    <mergeCell ref="K160:N160"/>
    <mergeCell ref="AU5:AV5"/>
    <mergeCell ref="B9:F9"/>
    <mergeCell ref="S9:V9"/>
    <mergeCell ref="W9:Z9"/>
    <mergeCell ref="M5:O5"/>
    <mergeCell ref="P5:R5"/>
    <mergeCell ref="AK5:AM5"/>
    <mergeCell ref="AO5:AR5"/>
    <mergeCell ref="B5:C5"/>
    <mergeCell ref="E5:F5"/>
    <mergeCell ref="S160:V160"/>
    <mergeCell ref="W160:Z160"/>
    <mergeCell ref="O160:R160"/>
    <mergeCell ref="O158:R158"/>
    <mergeCell ref="S158:V158"/>
    <mergeCell ref="W158:Z158"/>
    <mergeCell ref="S159:V159"/>
    <mergeCell ref="W159:Z159"/>
    <mergeCell ref="O125:R125"/>
    <mergeCell ref="O124:R124"/>
    <mergeCell ref="S121:V121"/>
    <mergeCell ref="O121:R121"/>
    <mergeCell ref="S124:V124"/>
    <mergeCell ref="S125:V125"/>
    <mergeCell ref="S123:V123"/>
    <mergeCell ref="S111:V111"/>
    <mergeCell ref="S109:V109"/>
    <mergeCell ref="S110:V110"/>
    <mergeCell ref="O105:R105"/>
    <mergeCell ref="S107:V107"/>
    <mergeCell ref="S98:V98"/>
    <mergeCell ref="S96:V96"/>
    <mergeCell ref="O76:R76"/>
    <mergeCell ref="S76:V76"/>
    <mergeCell ref="S87:V87"/>
    <mergeCell ref="S86:V86"/>
    <mergeCell ref="O84:R84"/>
    <mergeCell ref="O81:R81"/>
    <mergeCell ref="S81:V81"/>
    <mergeCell ref="O87:R87"/>
    <mergeCell ref="O35:R35"/>
    <mergeCell ref="O36:R36"/>
    <mergeCell ref="O18:R18"/>
    <mergeCell ref="O22:R22"/>
    <mergeCell ref="S18:V18"/>
    <mergeCell ref="O14:R14"/>
    <mergeCell ref="S17:V17"/>
    <mergeCell ref="S14:V14"/>
    <mergeCell ref="G5:I5"/>
    <mergeCell ref="J5:L5"/>
    <mergeCell ref="S13:V13"/>
    <mergeCell ref="O11:R11"/>
    <mergeCell ref="G9:J9"/>
    <mergeCell ref="K9:N9"/>
    <mergeCell ref="O9:R9"/>
    <mergeCell ref="O10:R10"/>
    <mergeCell ref="S12:V12"/>
    <mergeCell ref="O12:R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4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S14" sqref="AS14"/>
    </sheetView>
  </sheetViews>
  <sheetFormatPr defaultColWidth="9.00390625" defaultRowHeight="12.75"/>
  <cols>
    <col min="1" max="1" width="3.125" style="2" customWidth="1"/>
    <col min="2" max="42" width="3.25390625" style="2" customWidth="1"/>
    <col min="43" max="43" width="2.75390625" style="2" customWidth="1"/>
    <col min="44" max="44" width="3.00390625" style="2" customWidth="1"/>
    <col min="45" max="47" width="3.25390625" style="2" customWidth="1"/>
    <col min="48" max="48" width="2.875" style="2" customWidth="1"/>
    <col min="49" max="16384" width="3.25390625" style="2" customWidth="1"/>
  </cols>
  <sheetData>
    <row r="1" spans="1:53" ht="12.75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33</v>
      </c>
      <c r="M1" s="200"/>
      <c r="N1" s="200" t="s">
        <v>34</v>
      </c>
      <c r="O1" s="200"/>
      <c r="P1" s="200"/>
      <c r="Q1" s="200" t="s">
        <v>35</v>
      </c>
      <c r="R1" s="200"/>
      <c r="S1" s="200"/>
      <c r="T1" s="200" t="s">
        <v>36</v>
      </c>
      <c r="U1" s="200"/>
      <c r="V1" s="200"/>
      <c r="W1" s="200" t="s">
        <v>39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 t="s">
        <v>26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 t="s">
        <v>39</v>
      </c>
      <c r="AY1" s="200"/>
      <c r="AZ1" s="200"/>
      <c r="BA1" s="200"/>
    </row>
    <row r="2" spans="1:53" ht="12.75">
      <c r="A2" s="126" t="s">
        <v>132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>
        <v>0.75</v>
      </c>
      <c r="M2" s="127"/>
      <c r="N2" s="201">
        <v>0</v>
      </c>
      <c r="O2" s="201"/>
      <c r="P2" s="201"/>
      <c r="Q2" s="127">
        <v>0.3</v>
      </c>
      <c r="R2" s="127"/>
      <c r="S2" s="127"/>
      <c r="T2" s="127">
        <v>0</v>
      </c>
      <c r="U2" s="127"/>
      <c r="V2" s="127"/>
      <c r="W2" s="206" t="s">
        <v>40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7" t="s">
        <v>46</v>
      </c>
      <c r="AI2" s="208"/>
      <c r="AJ2" s="208"/>
      <c r="AK2" s="209"/>
      <c r="AL2" s="207" t="s">
        <v>47</v>
      </c>
      <c r="AM2" s="208"/>
      <c r="AN2" s="208"/>
      <c r="AO2" s="209"/>
      <c r="AP2" s="207" t="s">
        <v>46</v>
      </c>
      <c r="AQ2" s="208"/>
      <c r="AR2" s="208"/>
      <c r="AS2" s="209"/>
      <c r="AT2" s="207" t="s">
        <v>48</v>
      </c>
      <c r="AU2" s="208"/>
      <c r="AV2" s="208"/>
      <c r="AW2" s="209"/>
      <c r="AX2" s="210" t="s">
        <v>51</v>
      </c>
      <c r="AY2" s="211"/>
      <c r="AZ2" s="211"/>
      <c r="BA2" s="212"/>
    </row>
    <row r="3" spans="1:53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02"/>
      <c r="O3" s="202"/>
      <c r="P3" s="202"/>
      <c r="Q3" s="126"/>
      <c r="R3" s="126"/>
      <c r="S3" s="126"/>
      <c r="T3" s="126"/>
      <c r="U3" s="126"/>
      <c r="V3" s="12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126" t="s">
        <v>5</v>
      </c>
      <c r="AI3" s="126"/>
      <c r="AJ3" s="126"/>
      <c r="AK3" s="126"/>
      <c r="AL3" s="127">
        <v>20</v>
      </c>
      <c r="AM3" s="127"/>
      <c r="AN3" s="127"/>
      <c r="AO3" s="127"/>
      <c r="AP3" s="203" t="s">
        <v>49</v>
      </c>
      <c r="AQ3" s="204"/>
      <c r="AR3" s="204"/>
      <c r="AS3" s="205"/>
      <c r="AT3" s="126">
        <v>0</v>
      </c>
      <c r="AU3" s="126"/>
      <c r="AV3" s="126"/>
      <c r="AW3" s="126"/>
      <c r="AX3" s="213"/>
      <c r="AY3" s="214"/>
      <c r="AZ3" s="214"/>
      <c r="BA3" s="215"/>
    </row>
    <row r="4" spans="1:53" ht="12.75">
      <c r="A4" s="11"/>
      <c r="B4" s="12" t="s">
        <v>158</v>
      </c>
      <c r="C4" s="12"/>
      <c r="D4" s="12"/>
      <c r="E4" s="12" t="s">
        <v>157</v>
      </c>
      <c r="F4" s="12"/>
      <c r="G4" s="12"/>
      <c r="H4" s="12"/>
      <c r="I4" s="12"/>
      <c r="J4" s="12"/>
      <c r="K4" s="13"/>
      <c r="L4" s="126"/>
      <c r="M4" s="126"/>
      <c r="N4" s="202"/>
      <c r="O4" s="202"/>
      <c r="P4" s="202"/>
      <c r="Q4" s="126"/>
      <c r="R4" s="126"/>
      <c r="S4" s="126"/>
      <c r="T4" s="126"/>
      <c r="U4" s="126"/>
      <c r="V4" s="12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126" t="s">
        <v>2</v>
      </c>
      <c r="AI4" s="126"/>
      <c r="AJ4" s="126"/>
      <c r="AK4" s="126"/>
      <c r="AL4" s="127">
        <v>20</v>
      </c>
      <c r="AM4" s="127"/>
      <c r="AN4" s="127"/>
      <c r="AO4" s="127"/>
      <c r="AP4" s="203" t="s">
        <v>50</v>
      </c>
      <c r="AQ4" s="204"/>
      <c r="AR4" s="204"/>
      <c r="AS4" s="205"/>
      <c r="AT4" s="126">
        <v>100</v>
      </c>
      <c r="AU4" s="126"/>
      <c r="AV4" s="126"/>
      <c r="AW4" s="126"/>
      <c r="AX4" s="216"/>
      <c r="AY4" s="217"/>
      <c r="AZ4" s="217"/>
      <c r="BA4" s="218"/>
    </row>
    <row r="5" spans="2:48" s="3" customFormat="1" ht="13.5" thickBot="1">
      <c r="B5" s="264">
        <f>СВОДНАЯ!$T$41</f>
        <v>1</v>
      </c>
      <c r="C5" s="264"/>
      <c r="E5" s="264">
        <f>СВОДНАЯ!$AA$41</f>
        <v>1</v>
      </c>
      <c r="F5" s="264"/>
      <c r="G5" s="245">
        <f>СВОДНАЯ!G30*$B$5</f>
        <v>2180</v>
      </c>
      <c r="H5" s="245"/>
      <c r="I5" s="245"/>
      <c r="J5" s="245">
        <f>СВОДНАЯ!J30</f>
        <v>4000</v>
      </c>
      <c r="K5" s="245"/>
      <c r="L5" s="245"/>
      <c r="M5" s="245">
        <f>СВОДНАЯ!M30</f>
        <v>5905</v>
      </c>
      <c r="N5" s="245"/>
      <c r="O5" s="245"/>
      <c r="P5" s="245">
        <f>СВОДНАЯ!P30</f>
        <v>8280</v>
      </c>
      <c r="Q5" s="245"/>
      <c r="R5" s="245"/>
      <c r="S5" s="245">
        <f>СВОДНАЯ!S30</f>
        <v>10940</v>
      </c>
      <c r="T5" s="245"/>
      <c r="U5" s="245"/>
      <c r="V5" s="245">
        <f>СВОДНАЯ!V30</f>
        <v>13000</v>
      </c>
      <c r="W5" s="245"/>
      <c r="X5" s="245"/>
      <c r="Y5" s="245">
        <f>СВОДНАЯ!Y30</f>
        <v>13060</v>
      </c>
      <c r="Z5" s="245"/>
      <c r="AA5" s="245"/>
      <c r="AB5" s="245">
        <f>СВОДНАЯ!AB30</f>
        <v>13960</v>
      </c>
      <c r="AC5" s="245"/>
      <c r="AD5" s="245"/>
      <c r="AE5" s="245">
        <f>СВОДНАЯ!AE30</f>
        <v>14360</v>
      </c>
      <c r="AF5" s="245"/>
      <c r="AG5" s="245"/>
      <c r="AH5" s="263">
        <f>СВОДНАЯ!AH30</f>
        <v>14560</v>
      </c>
      <c r="AI5" s="263"/>
      <c r="AJ5" s="263"/>
      <c r="AK5" s="263">
        <f>СВОДНАЯ!AK30</f>
        <v>16940</v>
      </c>
      <c r="AL5" s="263"/>
      <c r="AM5" s="263"/>
      <c r="AN5" s="9"/>
      <c r="AO5" s="263">
        <f>СВОДНАЯ!AO30</f>
        <v>117185</v>
      </c>
      <c r="AP5" s="263"/>
      <c r="AQ5" s="263"/>
      <c r="AR5" s="263"/>
      <c r="AS5" s="4"/>
      <c r="AT5" s="4"/>
      <c r="AU5" s="258" t="e">
        <f>#REF!</f>
        <v>#REF!</v>
      </c>
      <c r="AV5" s="258"/>
    </row>
    <row r="6" spans="1:35" ht="13.5" thickBot="1">
      <c r="A6" s="129" t="s">
        <v>133</v>
      </c>
      <c r="B6" s="130"/>
      <c r="C6" s="130"/>
      <c r="D6" s="130"/>
      <c r="E6" s="130"/>
      <c r="F6" s="130"/>
      <c r="G6" s="129" t="s">
        <v>5</v>
      </c>
      <c r="H6" s="130"/>
      <c r="I6" s="130"/>
      <c r="J6" s="131"/>
      <c r="K6" s="130" t="s">
        <v>2</v>
      </c>
      <c r="L6" s="130"/>
      <c r="M6" s="130"/>
      <c r="N6" s="130"/>
      <c r="O6" s="129" t="s">
        <v>2</v>
      </c>
      <c r="P6" s="130"/>
      <c r="Q6" s="130"/>
      <c r="R6" s="131"/>
      <c r="S6" s="129" t="s">
        <v>2</v>
      </c>
      <c r="T6" s="130"/>
      <c r="U6" s="130"/>
      <c r="V6" s="131"/>
      <c r="W6" s="129" t="s">
        <v>73</v>
      </c>
      <c r="X6" s="130"/>
      <c r="Y6" s="130"/>
      <c r="Z6" s="131"/>
      <c r="AA6" s="130" t="s">
        <v>350</v>
      </c>
      <c r="AB6" s="130"/>
      <c r="AC6" s="130"/>
      <c r="AD6" s="130"/>
      <c r="AE6" s="130"/>
      <c r="AF6" s="130"/>
      <c r="AG6" s="130"/>
      <c r="AH6" s="130"/>
      <c r="AI6" s="131"/>
    </row>
    <row r="7" spans="1:35" ht="12.75" customHeight="1">
      <c r="A7" s="186" t="s">
        <v>61</v>
      </c>
      <c r="B7" s="93" t="s">
        <v>23</v>
      </c>
      <c r="C7" s="94"/>
      <c r="D7" s="94"/>
      <c r="E7" s="94"/>
      <c r="F7" s="199"/>
      <c r="G7" s="242">
        <v>1090</v>
      </c>
      <c r="H7" s="243"/>
      <c r="I7" s="243"/>
      <c r="J7" s="244"/>
      <c r="K7" s="242">
        <v>1090</v>
      </c>
      <c r="L7" s="243"/>
      <c r="M7" s="243"/>
      <c r="N7" s="244"/>
      <c r="O7" s="242">
        <v>0</v>
      </c>
      <c r="P7" s="243"/>
      <c r="Q7" s="243"/>
      <c r="R7" s="244"/>
      <c r="S7" s="242">
        <v>0</v>
      </c>
      <c r="T7" s="243"/>
      <c r="U7" s="243"/>
      <c r="V7" s="244"/>
      <c r="W7" s="170">
        <f>SUM(G7:V7)</f>
        <v>2180</v>
      </c>
      <c r="X7" s="171"/>
      <c r="Y7" s="171"/>
      <c r="Z7" s="172"/>
      <c r="AA7" s="236" t="s">
        <v>53</v>
      </c>
      <c r="AB7" s="94"/>
      <c r="AC7" s="94"/>
      <c r="AD7" s="94"/>
      <c r="AE7" s="94"/>
      <c r="AF7" s="94"/>
      <c r="AG7" s="269">
        <v>2.6</v>
      </c>
      <c r="AH7" s="270"/>
      <c r="AI7" s="271"/>
    </row>
    <row r="8" spans="1:35" ht="12.75">
      <c r="A8" s="219"/>
      <c r="B8" s="125" t="s">
        <v>24</v>
      </c>
      <c r="C8" s="126"/>
      <c r="D8" s="126"/>
      <c r="E8" s="126"/>
      <c r="F8" s="161"/>
      <c r="G8" s="239">
        <v>1090</v>
      </c>
      <c r="H8" s="240"/>
      <c r="I8" s="240"/>
      <c r="J8" s="241"/>
      <c r="K8" s="239">
        <v>1090</v>
      </c>
      <c r="L8" s="240"/>
      <c r="M8" s="240"/>
      <c r="N8" s="241"/>
      <c r="O8" s="239">
        <v>0</v>
      </c>
      <c r="P8" s="240"/>
      <c r="Q8" s="240"/>
      <c r="R8" s="241"/>
      <c r="S8" s="239">
        <v>0</v>
      </c>
      <c r="T8" s="240"/>
      <c r="U8" s="240"/>
      <c r="V8" s="241"/>
      <c r="W8" s="153">
        <f aca="true" t="shared" si="0" ref="W8:W19">G8+K8+O8+S8</f>
        <v>2180</v>
      </c>
      <c r="X8" s="154"/>
      <c r="Y8" s="154"/>
      <c r="Z8" s="155"/>
      <c r="AA8" s="205" t="s">
        <v>54</v>
      </c>
      <c r="AB8" s="126"/>
      <c r="AC8" s="126"/>
      <c r="AD8" s="126"/>
      <c r="AE8" s="126"/>
      <c r="AF8" s="126"/>
      <c r="AG8" s="278">
        <v>56.65</v>
      </c>
      <c r="AH8" s="278"/>
      <c r="AI8" s="279"/>
    </row>
    <row r="9" spans="1:35" ht="12.75">
      <c r="A9" s="219"/>
      <c r="B9" s="125" t="s">
        <v>29</v>
      </c>
      <c r="C9" s="126"/>
      <c r="D9" s="126"/>
      <c r="E9" s="126"/>
      <c r="F9" s="161"/>
      <c r="G9" s="156">
        <f>G8*$Q$2/100</f>
        <v>3.27</v>
      </c>
      <c r="H9" s="157"/>
      <c r="I9" s="157"/>
      <c r="J9" s="158"/>
      <c r="K9" s="156">
        <f>K8*$Q$2/100</f>
        <v>3.27</v>
      </c>
      <c r="L9" s="157"/>
      <c r="M9" s="157"/>
      <c r="N9" s="158"/>
      <c r="O9" s="156">
        <f>O8*$Q$2/100</f>
        <v>0</v>
      </c>
      <c r="P9" s="157"/>
      <c r="Q9" s="157"/>
      <c r="R9" s="158"/>
      <c r="S9" s="156">
        <f>S8*$Q$2/100</f>
        <v>0</v>
      </c>
      <c r="T9" s="157"/>
      <c r="U9" s="157"/>
      <c r="V9" s="158"/>
      <c r="W9" s="153">
        <f t="shared" si="0"/>
        <v>6.54</v>
      </c>
      <c r="X9" s="154"/>
      <c r="Y9" s="154"/>
      <c r="Z9" s="155"/>
      <c r="AA9" s="205" t="s">
        <v>55</v>
      </c>
      <c r="AB9" s="126"/>
      <c r="AC9" s="126"/>
      <c r="AD9" s="126"/>
      <c r="AE9" s="126"/>
      <c r="AF9" s="126"/>
      <c r="AG9" s="134">
        <f>AG8</f>
        <v>56.65</v>
      </c>
      <c r="AH9" s="134"/>
      <c r="AI9" s="135"/>
    </row>
    <row r="10" spans="1:35" ht="12.75">
      <c r="A10" s="219"/>
      <c r="B10" s="125" t="s">
        <v>10</v>
      </c>
      <c r="C10" s="126"/>
      <c r="D10" s="126"/>
      <c r="E10" s="126"/>
      <c r="F10" s="161"/>
      <c r="G10" s="169">
        <v>20</v>
      </c>
      <c r="H10" s="167"/>
      <c r="I10" s="167"/>
      <c r="J10" s="168"/>
      <c r="K10" s="166">
        <v>20</v>
      </c>
      <c r="L10" s="167"/>
      <c r="M10" s="167"/>
      <c r="N10" s="168"/>
      <c r="O10" s="239">
        <v>0</v>
      </c>
      <c r="P10" s="240"/>
      <c r="Q10" s="240"/>
      <c r="R10" s="241"/>
      <c r="S10" s="239">
        <v>0</v>
      </c>
      <c r="T10" s="240"/>
      <c r="U10" s="240"/>
      <c r="V10" s="241"/>
      <c r="W10" s="153">
        <f t="shared" si="0"/>
        <v>40</v>
      </c>
      <c r="X10" s="154"/>
      <c r="Y10" s="154"/>
      <c r="Z10" s="155"/>
      <c r="AA10" s="205" t="s">
        <v>56</v>
      </c>
      <c r="AB10" s="126"/>
      <c r="AC10" s="126"/>
      <c r="AD10" s="126"/>
      <c r="AE10" s="126"/>
      <c r="AF10" s="126"/>
      <c r="AG10" s="134">
        <f>W17+AG9</f>
        <v>0</v>
      </c>
      <c r="AH10" s="134"/>
      <c r="AI10" s="135"/>
    </row>
    <row r="11" spans="1:35" ht="13.5" thickBot="1">
      <c r="A11" s="219"/>
      <c r="B11" s="125" t="s">
        <v>58</v>
      </c>
      <c r="C11" s="126"/>
      <c r="D11" s="126"/>
      <c r="E11" s="126"/>
      <c r="F11" s="161"/>
      <c r="G11" s="156">
        <f>IF(G9&lt;G10,G10,G9)</f>
        <v>20</v>
      </c>
      <c r="H11" s="157"/>
      <c r="I11" s="157"/>
      <c r="J11" s="158"/>
      <c r="K11" s="160">
        <f>IF(K9&lt;K10,K10,K9)</f>
        <v>20</v>
      </c>
      <c r="L11" s="157"/>
      <c r="M11" s="157"/>
      <c r="N11" s="158"/>
      <c r="O11" s="246">
        <f>IF(O9&lt;O10,O10,O9)</f>
        <v>0</v>
      </c>
      <c r="P11" s="247"/>
      <c r="Q11" s="247"/>
      <c r="R11" s="248"/>
      <c r="S11" s="246">
        <f>IF(S9&lt;S10,S10,S9)</f>
        <v>0</v>
      </c>
      <c r="T11" s="247"/>
      <c r="U11" s="247"/>
      <c r="V11" s="248"/>
      <c r="W11" s="153">
        <f t="shared" si="0"/>
        <v>40</v>
      </c>
      <c r="X11" s="154"/>
      <c r="Y11" s="154"/>
      <c r="Z11" s="155"/>
      <c r="AA11" s="232" t="s">
        <v>57</v>
      </c>
      <c r="AB11" s="90"/>
      <c r="AC11" s="90"/>
      <c r="AD11" s="90"/>
      <c r="AE11" s="90"/>
      <c r="AF11" s="90"/>
      <c r="AG11" s="91">
        <f>-AG9+AG10-W18</f>
        <v>-56.65</v>
      </c>
      <c r="AH11" s="91"/>
      <c r="AI11" s="85"/>
    </row>
    <row r="12" spans="1:35" ht="13.5" thickBot="1">
      <c r="A12" s="219"/>
      <c r="B12" s="125" t="s">
        <v>41</v>
      </c>
      <c r="C12" s="126"/>
      <c r="D12" s="126"/>
      <c r="E12" s="126"/>
      <c r="F12" s="161"/>
      <c r="G12" s="156">
        <v>16.5</v>
      </c>
      <c r="H12" s="157"/>
      <c r="I12" s="157"/>
      <c r="J12" s="158"/>
      <c r="K12" s="156">
        <v>16.5</v>
      </c>
      <c r="L12" s="157"/>
      <c r="M12" s="157"/>
      <c r="N12" s="158"/>
      <c r="O12" s="246">
        <v>0</v>
      </c>
      <c r="P12" s="247"/>
      <c r="Q12" s="247"/>
      <c r="R12" s="248"/>
      <c r="S12" s="246">
        <v>0</v>
      </c>
      <c r="T12" s="247"/>
      <c r="U12" s="247"/>
      <c r="V12" s="248"/>
      <c r="W12" s="153">
        <f t="shared" si="0"/>
        <v>33</v>
      </c>
      <c r="X12" s="154"/>
      <c r="Y12" s="154"/>
      <c r="Z12" s="155"/>
      <c r="AA12" s="230" t="s">
        <v>59</v>
      </c>
      <c r="AB12" s="231"/>
      <c r="AC12" s="231"/>
      <c r="AD12" s="231"/>
      <c r="AE12" s="231"/>
      <c r="AF12" s="231"/>
      <c r="AG12" s="266">
        <f>AG8+AG11</f>
        <v>0</v>
      </c>
      <c r="AH12" s="267"/>
      <c r="AI12" s="268"/>
    </row>
    <row r="13" spans="1:35" ht="12.75">
      <c r="A13" s="219"/>
      <c r="B13" s="125" t="s">
        <v>42</v>
      </c>
      <c r="C13" s="126"/>
      <c r="D13" s="126"/>
      <c r="E13" s="126"/>
      <c r="F13" s="161"/>
      <c r="G13" s="169">
        <v>16.5</v>
      </c>
      <c r="H13" s="167"/>
      <c r="I13" s="167"/>
      <c r="J13" s="168"/>
      <c r="K13" s="169">
        <v>16.5</v>
      </c>
      <c r="L13" s="167"/>
      <c r="M13" s="167"/>
      <c r="N13" s="168"/>
      <c r="O13" s="239">
        <v>0</v>
      </c>
      <c r="P13" s="240"/>
      <c r="Q13" s="240"/>
      <c r="R13" s="241"/>
      <c r="S13" s="239">
        <v>0</v>
      </c>
      <c r="T13" s="240"/>
      <c r="U13" s="240"/>
      <c r="V13" s="241"/>
      <c r="W13" s="153">
        <f t="shared" si="0"/>
        <v>33</v>
      </c>
      <c r="X13" s="154"/>
      <c r="Y13" s="154"/>
      <c r="Z13" s="155"/>
      <c r="AA13" s="136">
        <f>(W12+W11)/W8*100-$L$2</f>
        <v>2.5986238532110093</v>
      </c>
      <c r="AB13" s="136"/>
      <c r="AC13" s="136"/>
      <c r="AD13" s="136"/>
      <c r="AE13" s="136"/>
      <c r="AF13" s="136"/>
      <c r="AG13" s="136"/>
      <c r="AH13" s="136"/>
      <c r="AI13" s="136"/>
    </row>
    <row r="14" spans="1:35" ht="12.75">
      <c r="A14" s="219"/>
      <c r="B14" s="125" t="s">
        <v>43</v>
      </c>
      <c r="C14" s="126"/>
      <c r="D14" s="126"/>
      <c r="E14" s="126"/>
      <c r="F14" s="161"/>
      <c r="G14" s="165">
        <f>G12-G13</f>
        <v>0</v>
      </c>
      <c r="H14" s="163"/>
      <c r="I14" s="163"/>
      <c r="J14" s="164"/>
      <c r="K14" s="162">
        <f>K12-K13</f>
        <v>0</v>
      </c>
      <c r="L14" s="163"/>
      <c r="M14" s="163"/>
      <c r="N14" s="164"/>
      <c r="O14" s="275">
        <f>O12-O13</f>
        <v>0</v>
      </c>
      <c r="P14" s="276"/>
      <c r="Q14" s="276"/>
      <c r="R14" s="277"/>
      <c r="S14" s="275">
        <v>0</v>
      </c>
      <c r="T14" s="276"/>
      <c r="U14" s="276"/>
      <c r="V14" s="277"/>
      <c r="W14" s="153">
        <f t="shared" si="0"/>
        <v>0</v>
      </c>
      <c r="X14" s="154"/>
      <c r="Y14" s="154"/>
      <c r="Z14" s="155"/>
      <c r="AA14" s="132">
        <f>AG7*W7/100</f>
        <v>56.68</v>
      </c>
      <c r="AB14" s="233"/>
      <c r="AC14" s="233"/>
      <c r="AD14" s="233"/>
      <c r="AE14" s="233"/>
      <c r="AF14" s="233"/>
      <c r="AG14" s="233"/>
      <c r="AH14" s="233"/>
      <c r="AI14" s="233"/>
    </row>
    <row r="15" spans="1:26" ht="12.75">
      <c r="A15" s="219"/>
      <c r="B15" s="125" t="s">
        <v>30</v>
      </c>
      <c r="C15" s="126"/>
      <c r="D15" s="126"/>
      <c r="E15" s="126"/>
      <c r="F15" s="161"/>
      <c r="G15" s="156">
        <f>G8/100*$L$2</f>
        <v>8.175</v>
      </c>
      <c r="H15" s="157"/>
      <c r="I15" s="157"/>
      <c r="J15" s="158"/>
      <c r="K15" s="160">
        <f>K8/100*$L$2</f>
        <v>8.175</v>
      </c>
      <c r="L15" s="157"/>
      <c r="M15" s="157"/>
      <c r="N15" s="158"/>
      <c r="O15" s="246">
        <f>O8/100*$L$2</f>
        <v>0</v>
      </c>
      <c r="P15" s="247"/>
      <c r="Q15" s="247"/>
      <c r="R15" s="248"/>
      <c r="S15" s="246">
        <f>S8/100*$L$2</f>
        <v>0</v>
      </c>
      <c r="T15" s="247"/>
      <c r="U15" s="247"/>
      <c r="V15" s="248"/>
      <c r="W15" s="153">
        <f t="shared" si="0"/>
        <v>16.35</v>
      </c>
      <c r="X15" s="154"/>
      <c r="Y15" s="154"/>
      <c r="Z15" s="155"/>
    </row>
    <row r="16" spans="1:26" ht="12.75">
      <c r="A16" s="219"/>
      <c r="B16" s="125" t="s">
        <v>44</v>
      </c>
      <c r="C16" s="126"/>
      <c r="D16" s="126"/>
      <c r="E16" s="126"/>
      <c r="F16" s="161"/>
      <c r="G16" s="156">
        <f>G15-G12-G11</f>
        <v>-28.325</v>
      </c>
      <c r="H16" s="157"/>
      <c r="I16" s="157"/>
      <c r="J16" s="158"/>
      <c r="K16" s="160">
        <f>K15-K12-K11</f>
        <v>-28.325</v>
      </c>
      <c r="L16" s="157"/>
      <c r="M16" s="157"/>
      <c r="N16" s="158"/>
      <c r="O16" s="246">
        <f>O15-O12-O11</f>
        <v>0</v>
      </c>
      <c r="P16" s="247"/>
      <c r="Q16" s="247"/>
      <c r="R16" s="248"/>
      <c r="S16" s="246">
        <f>S15-S12-S11</f>
        <v>0</v>
      </c>
      <c r="T16" s="247"/>
      <c r="U16" s="247"/>
      <c r="V16" s="248"/>
      <c r="W16" s="153">
        <f t="shared" si="0"/>
        <v>-56.65</v>
      </c>
      <c r="X16" s="154"/>
      <c r="Y16" s="154"/>
      <c r="Z16" s="155"/>
    </row>
    <row r="17" spans="1:26" ht="12.75" customHeight="1">
      <c r="A17" s="219"/>
      <c r="B17" s="125" t="s">
        <v>45</v>
      </c>
      <c r="C17" s="126"/>
      <c r="D17" s="126"/>
      <c r="E17" s="126"/>
      <c r="F17" s="161"/>
      <c r="G17" s="156">
        <f>G16+G14</f>
        <v>-28.325</v>
      </c>
      <c r="H17" s="157"/>
      <c r="I17" s="157"/>
      <c r="J17" s="158"/>
      <c r="K17" s="160">
        <f>K16+K14</f>
        <v>-28.325</v>
      </c>
      <c r="L17" s="157"/>
      <c r="M17" s="157"/>
      <c r="N17" s="158"/>
      <c r="O17" s="246">
        <f>O16+O14</f>
        <v>0</v>
      </c>
      <c r="P17" s="247"/>
      <c r="Q17" s="247"/>
      <c r="R17" s="248"/>
      <c r="S17" s="246">
        <f>S16+S14</f>
        <v>0</v>
      </c>
      <c r="T17" s="247"/>
      <c r="U17" s="247"/>
      <c r="V17" s="248"/>
      <c r="W17" s="153">
        <f t="shared" si="0"/>
        <v>-56.65</v>
      </c>
      <c r="X17" s="154"/>
      <c r="Y17" s="154"/>
      <c r="Z17" s="155"/>
    </row>
    <row r="18" spans="1:26" ht="12.75">
      <c r="A18" s="219"/>
      <c r="B18" s="194" t="s">
        <v>26</v>
      </c>
      <c r="C18" s="98"/>
      <c r="D18" s="98"/>
      <c r="E18" s="98"/>
      <c r="F18" s="195"/>
      <c r="G18" s="196">
        <f>$AG10/100*$AL$3</f>
        <v>0</v>
      </c>
      <c r="H18" s="197"/>
      <c r="I18" s="197"/>
      <c r="J18" s="198"/>
      <c r="K18" s="196">
        <f>$AG10/100*$AL$4</f>
        <v>0</v>
      </c>
      <c r="L18" s="197"/>
      <c r="M18" s="197"/>
      <c r="N18" s="198"/>
      <c r="O18" s="137">
        <v>0</v>
      </c>
      <c r="P18" s="138"/>
      <c r="Q18" s="138"/>
      <c r="R18" s="139"/>
      <c r="S18" s="137">
        <v>0</v>
      </c>
      <c r="T18" s="138"/>
      <c r="U18" s="138"/>
      <c r="V18" s="139"/>
      <c r="W18" s="153">
        <f t="shared" si="0"/>
        <v>0</v>
      </c>
      <c r="X18" s="154"/>
      <c r="Y18" s="154"/>
      <c r="Z18" s="155"/>
    </row>
    <row r="19" spans="1:26" ht="13.5" thickBot="1">
      <c r="A19" s="220"/>
      <c r="B19" s="191" t="s">
        <v>28</v>
      </c>
      <c r="C19" s="192"/>
      <c r="D19" s="192"/>
      <c r="E19" s="192"/>
      <c r="F19" s="193"/>
      <c r="G19" s="149">
        <f>IF(G18&lt;0,G11,G11+G18)</f>
        <v>20</v>
      </c>
      <c r="H19" s="147"/>
      <c r="I19" s="147"/>
      <c r="J19" s="148"/>
      <c r="K19" s="146">
        <f>IF(K18&lt;0,K11,K11+K18)</f>
        <v>20</v>
      </c>
      <c r="L19" s="147"/>
      <c r="M19" s="147"/>
      <c r="N19" s="148"/>
      <c r="O19" s="255">
        <f>IF(O18&lt;0,O11,O11+O18)</f>
        <v>0</v>
      </c>
      <c r="P19" s="256"/>
      <c r="Q19" s="256"/>
      <c r="R19" s="257"/>
      <c r="S19" s="255">
        <f>IF(S18&lt;0,S11,S11+S18)</f>
        <v>0</v>
      </c>
      <c r="T19" s="256"/>
      <c r="U19" s="256"/>
      <c r="V19" s="257"/>
      <c r="W19" s="150">
        <f t="shared" si="0"/>
        <v>40</v>
      </c>
      <c r="X19" s="151"/>
      <c r="Y19" s="151"/>
      <c r="Z19" s="152"/>
    </row>
    <row r="20" spans="1:35" ht="12.75" customHeight="1">
      <c r="A20" s="186" t="s">
        <v>62</v>
      </c>
      <c r="B20" s="93" t="s">
        <v>23</v>
      </c>
      <c r="C20" s="94"/>
      <c r="D20" s="94"/>
      <c r="E20" s="94"/>
      <c r="F20" s="199"/>
      <c r="G20" s="185">
        <v>1890</v>
      </c>
      <c r="H20" s="183"/>
      <c r="I20" s="183"/>
      <c r="J20" s="184"/>
      <c r="K20" s="182">
        <v>1890</v>
      </c>
      <c r="L20" s="183"/>
      <c r="M20" s="183"/>
      <c r="N20" s="184"/>
      <c r="O20" s="242">
        <v>0</v>
      </c>
      <c r="P20" s="243"/>
      <c r="Q20" s="243"/>
      <c r="R20" s="244"/>
      <c r="S20" s="242">
        <v>0</v>
      </c>
      <c r="T20" s="243"/>
      <c r="U20" s="243"/>
      <c r="V20" s="244"/>
      <c r="W20" s="170">
        <f>SUM(G20:V20)</f>
        <v>3780</v>
      </c>
      <c r="X20" s="171"/>
      <c r="Y20" s="171"/>
      <c r="Z20" s="172"/>
      <c r="AA20" s="236" t="s">
        <v>53</v>
      </c>
      <c r="AB20" s="94"/>
      <c r="AC20" s="94"/>
      <c r="AD20" s="94"/>
      <c r="AE20" s="94"/>
      <c r="AF20" s="94"/>
      <c r="AG20" s="269">
        <v>1.182</v>
      </c>
      <c r="AH20" s="270"/>
      <c r="AI20" s="271"/>
    </row>
    <row r="21" spans="1:35" ht="12.75">
      <c r="A21" s="219"/>
      <c r="B21" s="125" t="s">
        <v>24</v>
      </c>
      <c r="C21" s="126"/>
      <c r="D21" s="126"/>
      <c r="E21" s="126"/>
      <c r="F21" s="161"/>
      <c r="G21" s="239">
        <v>1890</v>
      </c>
      <c r="H21" s="240"/>
      <c r="I21" s="240"/>
      <c r="J21" s="241"/>
      <c r="K21" s="166">
        <v>1890</v>
      </c>
      <c r="L21" s="167"/>
      <c r="M21" s="167"/>
      <c r="N21" s="168"/>
      <c r="O21" s="239">
        <v>0</v>
      </c>
      <c r="P21" s="240"/>
      <c r="Q21" s="240"/>
      <c r="R21" s="241"/>
      <c r="S21" s="239">
        <v>0</v>
      </c>
      <c r="T21" s="240"/>
      <c r="U21" s="240"/>
      <c r="V21" s="241"/>
      <c r="W21" s="153">
        <f aca="true" t="shared" si="1" ref="W21:W32">G21+K21+O21+S21</f>
        <v>3780</v>
      </c>
      <c r="X21" s="154"/>
      <c r="Y21" s="154"/>
      <c r="Z21" s="155"/>
      <c r="AA21" s="205" t="s">
        <v>54</v>
      </c>
      <c r="AB21" s="126"/>
      <c r="AC21" s="126"/>
      <c r="AD21" s="126"/>
      <c r="AE21" s="126"/>
      <c r="AF21" s="126"/>
      <c r="AG21" s="278">
        <v>44.65</v>
      </c>
      <c r="AH21" s="278"/>
      <c r="AI21" s="279"/>
    </row>
    <row r="22" spans="1:35" ht="12.75">
      <c r="A22" s="219"/>
      <c r="B22" s="125" t="s">
        <v>29</v>
      </c>
      <c r="C22" s="126"/>
      <c r="D22" s="126"/>
      <c r="E22" s="126"/>
      <c r="F22" s="161"/>
      <c r="G22" s="156">
        <f>G21*$Q$2/100</f>
        <v>5.67</v>
      </c>
      <c r="H22" s="157"/>
      <c r="I22" s="157"/>
      <c r="J22" s="158"/>
      <c r="K22" s="156">
        <f>K21*$Q$2/100</f>
        <v>5.67</v>
      </c>
      <c r="L22" s="157"/>
      <c r="M22" s="157"/>
      <c r="N22" s="158"/>
      <c r="O22" s="156">
        <f>O21*$Q$2/100</f>
        <v>0</v>
      </c>
      <c r="P22" s="157"/>
      <c r="Q22" s="157"/>
      <c r="R22" s="158"/>
      <c r="S22" s="156">
        <f>S21*$Q$2/100</f>
        <v>0</v>
      </c>
      <c r="T22" s="157"/>
      <c r="U22" s="157"/>
      <c r="V22" s="158"/>
      <c r="W22" s="153">
        <f t="shared" si="1"/>
        <v>11.34</v>
      </c>
      <c r="X22" s="154"/>
      <c r="Y22" s="154"/>
      <c r="Z22" s="155"/>
      <c r="AA22" s="205" t="s">
        <v>55</v>
      </c>
      <c r="AB22" s="126"/>
      <c r="AC22" s="126"/>
      <c r="AD22" s="126"/>
      <c r="AE22" s="126"/>
      <c r="AF22" s="126"/>
      <c r="AG22" s="134">
        <f>AG21</f>
        <v>44.65</v>
      </c>
      <c r="AH22" s="134"/>
      <c r="AI22" s="135"/>
    </row>
    <row r="23" spans="1:35" ht="12.75">
      <c r="A23" s="219"/>
      <c r="B23" s="125" t="s">
        <v>10</v>
      </c>
      <c r="C23" s="126"/>
      <c r="D23" s="126"/>
      <c r="E23" s="126"/>
      <c r="F23" s="161"/>
      <c r="G23" s="169">
        <v>20</v>
      </c>
      <c r="H23" s="167"/>
      <c r="I23" s="167"/>
      <c r="J23" s="168"/>
      <c r="K23" s="166">
        <v>20</v>
      </c>
      <c r="L23" s="167"/>
      <c r="M23" s="167"/>
      <c r="N23" s="168"/>
      <c r="O23" s="239">
        <v>0</v>
      </c>
      <c r="P23" s="240"/>
      <c r="Q23" s="240"/>
      <c r="R23" s="241"/>
      <c r="S23" s="239">
        <v>0</v>
      </c>
      <c r="T23" s="240"/>
      <c r="U23" s="240"/>
      <c r="V23" s="241"/>
      <c r="W23" s="153">
        <f t="shared" si="1"/>
        <v>40</v>
      </c>
      <c r="X23" s="154"/>
      <c r="Y23" s="154"/>
      <c r="Z23" s="155"/>
      <c r="AA23" s="205" t="s">
        <v>56</v>
      </c>
      <c r="AB23" s="126"/>
      <c r="AC23" s="126"/>
      <c r="AD23" s="126"/>
      <c r="AE23" s="126"/>
      <c r="AF23" s="126"/>
      <c r="AG23" s="134">
        <f>W30+AG22</f>
        <v>0</v>
      </c>
      <c r="AH23" s="134"/>
      <c r="AI23" s="135"/>
    </row>
    <row r="24" spans="1:35" ht="13.5" thickBot="1">
      <c r="A24" s="219"/>
      <c r="B24" s="125" t="s">
        <v>58</v>
      </c>
      <c r="C24" s="126"/>
      <c r="D24" s="126"/>
      <c r="E24" s="126"/>
      <c r="F24" s="161"/>
      <c r="G24" s="156">
        <f>IF(G22&lt;G23,G23,G22)</f>
        <v>20</v>
      </c>
      <c r="H24" s="157"/>
      <c r="I24" s="157"/>
      <c r="J24" s="158"/>
      <c r="K24" s="160">
        <f>IF(K22&lt;K23,K23,K22)</f>
        <v>20</v>
      </c>
      <c r="L24" s="157"/>
      <c r="M24" s="157"/>
      <c r="N24" s="158"/>
      <c r="O24" s="246">
        <f>IF(O22&lt;O23,O23,O22)</f>
        <v>0</v>
      </c>
      <c r="P24" s="247"/>
      <c r="Q24" s="247"/>
      <c r="R24" s="248"/>
      <c r="S24" s="246">
        <f>IF(S22&lt;S23,S23,S22)</f>
        <v>0</v>
      </c>
      <c r="T24" s="247"/>
      <c r="U24" s="247"/>
      <c r="V24" s="248"/>
      <c r="W24" s="153">
        <f t="shared" si="1"/>
        <v>40</v>
      </c>
      <c r="X24" s="154"/>
      <c r="Y24" s="154"/>
      <c r="Z24" s="155"/>
      <c r="AA24" s="232" t="s">
        <v>57</v>
      </c>
      <c r="AB24" s="90"/>
      <c r="AC24" s="90"/>
      <c r="AD24" s="90"/>
      <c r="AE24" s="90"/>
      <c r="AF24" s="90"/>
      <c r="AG24" s="91">
        <f>-AG22+AG23-W31</f>
        <v>-44.65</v>
      </c>
      <c r="AH24" s="91"/>
      <c r="AI24" s="85"/>
    </row>
    <row r="25" spans="1:35" ht="13.5" thickBot="1">
      <c r="A25" s="219"/>
      <c r="B25" s="125" t="s">
        <v>41</v>
      </c>
      <c r="C25" s="126"/>
      <c r="D25" s="126"/>
      <c r="E25" s="126"/>
      <c r="F25" s="161"/>
      <c r="G25" s="156">
        <v>16.5</v>
      </c>
      <c r="H25" s="157"/>
      <c r="I25" s="157"/>
      <c r="J25" s="158"/>
      <c r="K25" s="156">
        <v>16.5</v>
      </c>
      <c r="L25" s="157"/>
      <c r="M25" s="157"/>
      <c r="N25" s="158"/>
      <c r="O25" s="246">
        <v>0</v>
      </c>
      <c r="P25" s="247"/>
      <c r="Q25" s="247"/>
      <c r="R25" s="248"/>
      <c r="S25" s="246">
        <v>0</v>
      </c>
      <c r="T25" s="247"/>
      <c r="U25" s="247"/>
      <c r="V25" s="248"/>
      <c r="W25" s="153">
        <f t="shared" si="1"/>
        <v>33</v>
      </c>
      <c r="X25" s="154"/>
      <c r="Y25" s="154"/>
      <c r="Z25" s="155"/>
      <c r="AA25" s="230" t="s">
        <v>59</v>
      </c>
      <c r="AB25" s="231"/>
      <c r="AC25" s="231"/>
      <c r="AD25" s="231"/>
      <c r="AE25" s="231"/>
      <c r="AF25" s="231"/>
      <c r="AG25" s="266">
        <f>AG21+AG24</f>
        <v>0</v>
      </c>
      <c r="AH25" s="267"/>
      <c r="AI25" s="268"/>
    </row>
    <row r="26" spans="1:35" ht="12.75">
      <c r="A26" s="219"/>
      <c r="B26" s="125" t="s">
        <v>42</v>
      </c>
      <c r="C26" s="126"/>
      <c r="D26" s="126"/>
      <c r="E26" s="126"/>
      <c r="F26" s="161"/>
      <c r="G26" s="169">
        <v>16.5</v>
      </c>
      <c r="H26" s="167"/>
      <c r="I26" s="167"/>
      <c r="J26" s="168"/>
      <c r="K26" s="169">
        <v>16.5</v>
      </c>
      <c r="L26" s="167"/>
      <c r="M26" s="167"/>
      <c r="N26" s="168"/>
      <c r="O26" s="239">
        <v>0</v>
      </c>
      <c r="P26" s="240"/>
      <c r="Q26" s="240"/>
      <c r="R26" s="241"/>
      <c r="S26" s="239">
        <v>0</v>
      </c>
      <c r="T26" s="240"/>
      <c r="U26" s="240"/>
      <c r="V26" s="241"/>
      <c r="W26" s="153">
        <f t="shared" si="1"/>
        <v>33</v>
      </c>
      <c r="X26" s="154"/>
      <c r="Y26" s="154"/>
      <c r="Z26" s="155"/>
      <c r="AA26" s="136">
        <f>(W25+W24)/W21*100-$L$2</f>
        <v>1.1812169312169312</v>
      </c>
      <c r="AB26" s="136"/>
      <c r="AC26" s="136"/>
      <c r="AD26" s="136"/>
      <c r="AE26" s="136"/>
      <c r="AF26" s="136"/>
      <c r="AG26" s="136"/>
      <c r="AH26" s="136"/>
      <c r="AI26" s="136"/>
    </row>
    <row r="27" spans="1:35" ht="12.75">
      <c r="A27" s="219"/>
      <c r="B27" s="125" t="s">
        <v>43</v>
      </c>
      <c r="C27" s="126"/>
      <c r="D27" s="126"/>
      <c r="E27" s="126"/>
      <c r="F27" s="161"/>
      <c r="G27" s="165">
        <f>G25-G26</f>
        <v>0</v>
      </c>
      <c r="H27" s="163"/>
      <c r="I27" s="163"/>
      <c r="J27" s="164"/>
      <c r="K27" s="162">
        <f>K25-K26</f>
        <v>0</v>
      </c>
      <c r="L27" s="163"/>
      <c r="M27" s="163"/>
      <c r="N27" s="164"/>
      <c r="O27" s="275">
        <f>O25-O26</f>
        <v>0</v>
      </c>
      <c r="P27" s="276"/>
      <c r="Q27" s="276"/>
      <c r="R27" s="277"/>
      <c r="S27" s="275">
        <v>0</v>
      </c>
      <c r="T27" s="276"/>
      <c r="U27" s="276"/>
      <c r="V27" s="277"/>
      <c r="W27" s="153">
        <f t="shared" si="1"/>
        <v>0</v>
      </c>
      <c r="X27" s="154"/>
      <c r="Y27" s="154"/>
      <c r="Z27" s="155"/>
      <c r="AA27" s="132">
        <f>AG20*W20/100</f>
        <v>44.6796</v>
      </c>
      <c r="AB27" s="233"/>
      <c r="AC27" s="233"/>
      <c r="AD27" s="233"/>
      <c r="AE27" s="233"/>
      <c r="AF27" s="233"/>
      <c r="AG27" s="233"/>
      <c r="AH27" s="233"/>
      <c r="AI27" s="233"/>
    </row>
    <row r="28" spans="1:26" ht="12.75">
      <c r="A28" s="219"/>
      <c r="B28" s="125" t="s">
        <v>30</v>
      </c>
      <c r="C28" s="126"/>
      <c r="D28" s="126"/>
      <c r="E28" s="126"/>
      <c r="F28" s="161"/>
      <c r="G28" s="156">
        <f>G21/100*$L$2</f>
        <v>14.174999999999999</v>
      </c>
      <c r="H28" s="157"/>
      <c r="I28" s="157"/>
      <c r="J28" s="158"/>
      <c r="K28" s="160">
        <f>K21/100*$L$2</f>
        <v>14.174999999999999</v>
      </c>
      <c r="L28" s="157"/>
      <c r="M28" s="157"/>
      <c r="N28" s="158"/>
      <c r="O28" s="246">
        <f>O21/100*$L$2</f>
        <v>0</v>
      </c>
      <c r="P28" s="247"/>
      <c r="Q28" s="247"/>
      <c r="R28" s="248"/>
      <c r="S28" s="246">
        <f>S21/100*$L$2</f>
        <v>0</v>
      </c>
      <c r="T28" s="247"/>
      <c r="U28" s="247"/>
      <c r="V28" s="248"/>
      <c r="W28" s="153">
        <f t="shared" si="1"/>
        <v>28.349999999999998</v>
      </c>
      <c r="X28" s="154"/>
      <c r="Y28" s="154"/>
      <c r="Z28" s="155"/>
    </row>
    <row r="29" spans="1:26" ht="12.75">
      <c r="A29" s="219"/>
      <c r="B29" s="125" t="s">
        <v>44</v>
      </c>
      <c r="C29" s="126"/>
      <c r="D29" s="126"/>
      <c r="E29" s="126"/>
      <c r="F29" s="161"/>
      <c r="G29" s="156">
        <f>G28-G25-G24</f>
        <v>-22.325000000000003</v>
      </c>
      <c r="H29" s="157"/>
      <c r="I29" s="157"/>
      <c r="J29" s="158"/>
      <c r="K29" s="160">
        <f>K28-K25-K24</f>
        <v>-22.325000000000003</v>
      </c>
      <c r="L29" s="157"/>
      <c r="M29" s="157"/>
      <c r="N29" s="158"/>
      <c r="O29" s="246">
        <f>O28-O25-O24</f>
        <v>0</v>
      </c>
      <c r="P29" s="247"/>
      <c r="Q29" s="247"/>
      <c r="R29" s="248"/>
      <c r="S29" s="246">
        <f>S28-S25-S24</f>
        <v>0</v>
      </c>
      <c r="T29" s="247"/>
      <c r="U29" s="247"/>
      <c r="V29" s="248"/>
      <c r="W29" s="153">
        <f t="shared" si="1"/>
        <v>-44.650000000000006</v>
      </c>
      <c r="X29" s="154"/>
      <c r="Y29" s="154"/>
      <c r="Z29" s="155"/>
    </row>
    <row r="30" spans="1:26" ht="12.75" customHeight="1">
      <c r="A30" s="219"/>
      <c r="B30" s="125" t="s">
        <v>45</v>
      </c>
      <c r="C30" s="126"/>
      <c r="D30" s="126"/>
      <c r="E30" s="126"/>
      <c r="F30" s="161"/>
      <c r="G30" s="156">
        <f>G29+G27</f>
        <v>-22.325000000000003</v>
      </c>
      <c r="H30" s="157"/>
      <c r="I30" s="157"/>
      <c r="J30" s="158"/>
      <c r="K30" s="160">
        <f>K29+K27</f>
        <v>-22.325000000000003</v>
      </c>
      <c r="L30" s="157"/>
      <c r="M30" s="157"/>
      <c r="N30" s="158"/>
      <c r="O30" s="246">
        <f>O29+O27</f>
        <v>0</v>
      </c>
      <c r="P30" s="247"/>
      <c r="Q30" s="247"/>
      <c r="R30" s="248"/>
      <c r="S30" s="246">
        <f>S29+S27</f>
        <v>0</v>
      </c>
      <c r="T30" s="247"/>
      <c r="U30" s="247"/>
      <c r="V30" s="248"/>
      <c r="W30" s="153">
        <f t="shared" si="1"/>
        <v>-44.650000000000006</v>
      </c>
      <c r="X30" s="154"/>
      <c r="Y30" s="154"/>
      <c r="Z30" s="155"/>
    </row>
    <row r="31" spans="1:26" ht="12.75">
      <c r="A31" s="219"/>
      <c r="B31" s="194" t="s">
        <v>26</v>
      </c>
      <c r="C31" s="98"/>
      <c r="D31" s="98"/>
      <c r="E31" s="98"/>
      <c r="F31" s="195"/>
      <c r="G31" s="196">
        <f>$AG23/100*$AL$3</f>
        <v>0</v>
      </c>
      <c r="H31" s="197"/>
      <c r="I31" s="197"/>
      <c r="J31" s="198"/>
      <c r="K31" s="196">
        <f>$AG23/100*$AL$4</f>
        <v>0</v>
      </c>
      <c r="L31" s="197"/>
      <c r="M31" s="197"/>
      <c r="N31" s="198"/>
      <c r="O31" s="137">
        <v>0</v>
      </c>
      <c r="P31" s="138"/>
      <c r="Q31" s="138"/>
      <c r="R31" s="139"/>
      <c r="S31" s="137">
        <v>0</v>
      </c>
      <c r="T31" s="138"/>
      <c r="U31" s="138"/>
      <c r="V31" s="139"/>
      <c r="W31" s="153">
        <f t="shared" si="1"/>
        <v>0</v>
      </c>
      <c r="X31" s="154"/>
      <c r="Y31" s="154"/>
      <c r="Z31" s="155"/>
    </row>
    <row r="32" spans="1:26" ht="13.5" thickBot="1">
      <c r="A32" s="220"/>
      <c r="B32" s="191" t="s">
        <v>28</v>
      </c>
      <c r="C32" s="192"/>
      <c r="D32" s="192"/>
      <c r="E32" s="192"/>
      <c r="F32" s="193"/>
      <c r="G32" s="149">
        <f>IF(G31&lt;0,G24,G24+G31)</f>
        <v>20</v>
      </c>
      <c r="H32" s="147"/>
      <c r="I32" s="147"/>
      <c r="J32" s="148"/>
      <c r="K32" s="146">
        <f>IF(K31&lt;0,K24,K24+K31)</f>
        <v>20</v>
      </c>
      <c r="L32" s="147"/>
      <c r="M32" s="147"/>
      <c r="N32" s="148"/>
      <c r="O32" s="255">
        <f>IF(O31&lt;0,O24,O24+O31)</f>
        <v>0</v>
      </c>
      <c r="P32" s="256"/>
      <c r="Q32" s="256"/>
      <c r="R32" s="257"/>
      <c r="S32" s="255">
        <f>IF(S31&lt;0,S24,S24+S31)</f>
        <v>0</v>
      </c>
      <c r="T32" s="256"/>
      <c r="U32" s="256"/>
      <c r="V32" s="257"/>
      <c r="W32" s="150">
        <f t="shared" si="1"/>
        <v>40</v>
      </c>
      <c r="X32" s="151"/>
      <c r="Y32" s="151"/>
      <c r="Z32" s="152"/>
    </row>
    <row r="33" spans="1:35" ht="12.75" customHeight="1">
      <c r="A33" s="188" t="s">
        <v>63</v>
      </c>
      <c r="B33" s="93" t="s">
        <v>23</v>
      </c>
      <c r="C33" s="94"/>
      <c r="D33" s="94"/>
      <c r="E33" s="94"/>
      <c r="F33" s="199"/>
      <c r="G33" s="185">
        <v>2940</v>
      </c>
      <c r="H33" s="183"/>
      <c r="I33" s="183"/>
      <c r="J33" s="184"/>
      <c r="K33" s="182">
        <v>2940</v>
      </c>
      <c r="L33" s="183"/>
      <c r="M33" s="183"/>
      <c r="N33" s="184"/>
      <c r="O33" s="242">
        <v>0</v>
      </c>
      <c r="P33" s="243"/>
      <c r="Q33" s="243"/>
      <c r="R33" s="244"/>
      <c r="S33" s="242">
        <v>0</v>
      </c>
      <c r="T33" s="243"/>
      <c r="U33" s="243"/>
      <c r="V33" s="244"/>
      <c r="W33" s="170">
        <f>SUM(G33:V33)</f>
        <v>5880</v>
      </c>
      <c r="X33" s="171"/>
      <c r="Y33" s="171"/>
      <c r="Z33" s="172"/>
      <c r="AA33" s="236" t="s">
        <v>53</v>
      </c>
      <c r="AB33" s="94"/>
      <c r="AC33" s="94"/>
      <c r="AD33" s="94"/>
      <c r="AE33" s="94"/>
      <c r="AF33" s="94"/>
      <c r="AG33" s="269">
        <v>0.492</v>
      </c>
      <c r="AH33" s="270"/>
      <c r="AI33" s="271"/>
    </row>
    <row r="34" spans="1:35" ht="12.75">
      <c r="A34" s="187"/>
      <c r="B34" s="125" t="s">
        <v>24</v>
      </c>
      <c r="C34" s="126"/>
      <c r="D34" s="126"/>
      <c r="E34" s="126"/>
      <c r="F34" s="161"/>
      <c r="G34" s="239">
        <v>2940</v>
      </c>
      <c r="H34" s="240"/>
      <c r="I34" s="240"/>
      <c r="J34" s="241"/>
      <c r="K34" s="166">
        <v>2940</v>
      </c>
      <c r="L34" s="167"/>
      <c r="M34" s="167"/>
      <c r="N34" s="168"/>
      <c r="O34" s="239">
        <v>0</v>
      </c>
      <c r="P34" s="240"/>
      <c r="Q34" s="240"/>
      <c r="R34" s="241"/>
      <c r="S34" s="239">
        <v>0</v>
      </c>
      <c r="T34" s="240"/>
      <c r="U34" s="240"/>
      <c r="V34" s="241"/>
      <c r="W34" s="153">
        <f aca="true" t="shared" si="2" ref="W34:W45">G34+K34+O34+S34</f>
        <v>5880</v>
      </c>
      <c r="X34" s="154"/>
      <c r="Y34" s="154"/>
      <c r="Z34" s="155"/>
      <c r="AA34" s="205" t="s">
        <v>54</v>
      </c>
      <c r="AB34" s="126"/>
      <c r="AC34" s="126"/>
      <c r="AD34" s="126"/>
      <c r="AE34" s="126"/>
      <c r="AF34" s="126"/>
      <c r="AG34" s="278">
        <v>28.9</v>
      </c>
      <c r="AH34" s="278"/>
      <c r="AI34" s="279"/>
    </row>
    <row r="35" spans="1:35" ht="12.75">
      <c r="A35" s="187"/>
      <c r="B35" s="125" t="s">
        <v>29</v>
      </c>
      <c r="C35" s="126"/>
      <c r="D35" s="126"/>
      <c r="E35" s="126"/>
      <c r="F35" s="161"/>
      <c r="G35" s="156">
        <f>G34*$Q$2/100</f>
        <v>8.82</v>
      </c>
      <c r="H35" s="157"/>
      <c r="I35" s="157"/>
      <c r="J35" s="158"/>
      <c r="K35" s="156">
        <f>K34*$Q$2/100</f>
        <v>8.82</v>
      </c>
      <c r="L35" s="157"/>
      <c r="M35" s="157"/>
      <c r="N35" s="158"/>
      <c r="O35" s="156">
        <f>O34*$Q$2/100</f>
        <v>0</v>
      </c>
      <c r="P35" s="157"/>
      <c r="Q35" s="157"/>
      <c r="R35" s="158"/>
      <c r="S35" s="156">
        <f>S34*$Q$2/100</f>
        <v>0</v>
      </c>
      <c r="T35" s="157"/>
      <c r="U35" s="157"/>
      <c r="V35" s="158"/>
      <c r="W35" s="153">
        <f t="shared" si="2"/>
        <v>17.64</v>
      </c>
      <c r="X35" s="154"/>
      <c r="Y35" s="154"/>
      <c r="Z35" s="155"/>
      <c r="AA35" s="205" t="s">
        <v>55</v>
      </c>
      <c r="AB35" s="126"/>
      <c r="AC35" s="126"/>
      <c r="AD35" s="126"/>
      <c r="AE35" s="126"/>
      <c r="AF35" s="126"/>
      <c r="AG35" s="134">
        <f>AG34</f>
        <v>28.9</v>
      </c>
      <c r="AH35" s="134"/>
      <c r="AI35" s="135"/>
    </row>
    <row r="36" spans="1:35" ht="12.75">
      <c r="A36" s="187"/>
      <c r="B36" s="125" t="s">
        <v>10</v>
      </c>
      <c r="C36" s="126"/>
      <c r="D36" s="126"/>
      <c r="E36" s="126"/>
      <c r="F36" s="161"/>
      <c r="G36" s="169">
        <v>20</v>
      </c>
      <c r="H36" s="167"/>
      <c r="I36" s="167"/>
      <c r="J36" s="168"/>
      <c r="K36" s="166">
        <v>20</v>
      </c>
      <c r="L36" s="167"/>
      <c r="M36" s="167"/>
      <c r="N36" s="168"/>
      <c r="O36" s="239">
        <v>0</v>
      </c>
      <c r="P36" s="240"/>
      <c r="Q36" s="240"/>
      <c r="R36" s="241"/>
      <c r="S36" s="239">
        <v>0</v>
      </c>
      <c r="T36" s="240"/>
      <c r="U36" s="240"/>
      <c r="V36" s="241"/>
      <c r="W36" s="153">
        <f t="shared" si="2"/>
        <v>40</v>
      </c>
      <c r="X36" s="154"/>
      <c r="Y36" s="154"/>
      <c r="Z36" s="155"/>
      <c r="AA36" s="205" t="s">
        <v>56</v>
      </c>
      <c r="AB36" s="126"/>
      <c r="AC36" s="126"/>
      <c r="AD36" s="126"/>
      <c r="AE36" s="126"/>
      <c r="AF36" s="126"/>
      <c r="AG36" s="134">
        <f>W43+AG35</f>
        <v>0</v>
      </c>
      <c r="AH36" s="134"/>
      <c r="AI36" s="135"/>
    </row>
    <row r="37" spans="1:35" ht="13.5" thickBot="1">
      <c r="A37" s="187"/>
      <c r="B37" s="125" t="s">
        <v>58</v>
      </c>
      <c r="C37" s="126"/>
      <c r="D37" s="126"/>
      <c r="E37" s="126"/>
      <c r="F37" s="161"/>
      <c r="G37" s="156">
        <f>IF(G35&lt;G36,G36,G35)</f>
        <v>20</v>
      </c>
      <c r="H37" s="157"/>
      <c r="I37" s="157"/>
      <c r="J37" s="158"/>
      <c r="K37" s="160">
        <f>IF(K35&lt;K36,K36,K35)</f>
        <v>20</v>
      </c>
      <c r="L37" s="157"/>
      <c r="M37" s="157"/>
      <c r="N37" s="158"/>
      <c r="O37" s="246">
        <f>IF(O35&lt;O36,O36,O35)</f>
        <v>0</v>
      </c>
      <c r="P37" s="247"/>
      <c r="Q37" s="247"/>
      <c r="R37" s="248"/>
      <c r="S37" s="246">
        <f>IF(S35&lt;S36,S36,S35)</f>
        <v>0</v>
      </c>
      <c r="T37" s="247"/>
      <c r="U37" s="247"/>
      <c r="V37" s="248"/>
      <c r="W37" s="153">
        <f t="shared" si="2"/>
        <v>40</v>
      </c>
      <c r="X37" s="154"/>
      <c r="Y37" s="154"/>
      <c r="Z37" s="155"/>
      <c r="AA37" s="232" t="s">
        <v>57</v>
      </c>
      <c r="AB37" s="90"/>
      <c r="AC37" s="90"/>
      <c r="AD37" s="90"/>
      <c r="AE37" s="90"/>
      <c r="AF37" s="90"/>
      <c r="AG37" s="91">
        <f>-AG35+AG36-W44</f>
        <v>-28.9</v>
      </c>
      <c r="AH37" s="91"/>
      <c r="AI37" s="85"/>
    </row>
    <row r="38" spans="1:35" ht="13.5" thickBot="1">
      <c r="A38" s="187"/>
      <c r="B38" s="125" t="s">
        <v>41</v>
      </c>
      <c r="C38" s="126"/>
      <c r="D38" s="126"/>
      <c r="E38" s="126"/>
      <c r="F38" s="161"/>
      <c r="G38" s="156">
        <v>16.5</v>
      </c>
      <c r="H38" s="157"/>
      <c r="I38" s="157"/>
      <c r="J38" s="158"/>
      <c r="K38" s="156">
        <v>16.5</v>
      </c>
      <c r="L38" s="157"/>
      <c r="M38" s="157"/>
      <c r="N38" s="158"/>
      <c r="O38" s="246">
        <v>0</v>
      </c>
      <c r="P38" s="247"/>
      <c r="Q38" s="247"/>
      <c r="R38" s="248"/>
      <c r="S38" s="246">
        <v>0</v>
      </c>
      <c r="T38" s="247"/>
      <c r="U38" s="247"/>
      <c r="V38" s="248"/>
      <c r="W38" s="153">
        <f t="shared" si="2"/>
        <v>33</v>
      </c>
      <c r="X38" s="154"/>
      <c r="Y38" s="154"/>
      <c r="Z38" s="155"/>
      <c r="AA38" s="230" t="s">
        <v>59</v>
      </c>
      <c r="AB38" s="231"/>
      <c r="AC38" s="231"/>
      <c r="AD38" s="231"/>
      <c r="AE38" s="231"/>
      <c r="AF38" s="231"/>
      <c r="AG38" s="266">
        <f>AG34+AG37</f>
        <v>0</v>
      </c>
      <c r="AH38" s="267"/>
      <c r="AI38" s="268"/>
    </row>
    <row r="39" spans="1:35" ht="12.75">
      <c r="A39" s="187"/>
      <c r="B39" s="125" t="s">
        <v>42</v>
      </c>
      <c r="C39" s="126"/>
      <c r="D39" s="126"/>
      <c r="E39" s="126"/>
      <c r="F39" s="161"/>
      <c r="G39" s="169">
        <v>16.5</v>
      </c>
      <c r="H39" s="167"/>
      <c r="I39" s="167"/>
      <c r="J39" s="168"/>
      <c r="K39" s="169">
        <v>16.5</v>
      </c>
      <c r="L39" s="167"/>
      <c r="M39" s="167"/>
      <c r="N39" s="168"/>
      <c r="O39" s="239">
        <v>0</v>
      </c>
      <c r="P39" s="240"/>
      <c r="Q39" s="240"/>
      <c r="R39" s="241"/>
      <c r="S39" s="239">
        <v>0</v>
      </c>
      <c r="T39" s="240"/>
      <c r="U39" s="240"/>
      <c r="V39" s="241"/>
      <c r="W39" s="153">
        <f t="shared" si="2"/>
        <v>33</v>
      </c>
      <c r="X39" s="154"/>
      <c r="Y39" s="154"/>
      <c r="Z39" s="155"/>
      <c r="AA39" s="136">
        <f>(W38+W37)/W34*100-$L$2</f>
        <v>0.4914965986394557</v>
      </c>
      <c r="AB39" s="136"/>
      <c r="AC39" s="136"/>
      <c r="AD39" s="136"/>
      <c r="AE39" s="136"/>
      <c r="AF39" s="136"/>
      <c r="AG39" s="136"/>
      <c r="AH39" s="136"/>
      <c r="AI39" s="136"/>
    </row>
    <row r="40" spans="1:35" ht="12.75">
      <c r="A40" s="187"/>
      <c r="B40" s="125" t="s">
        <v>43</v>
      </c>
      <c r="C40" s="126"/>
      <c r="D40" s="126"/>
      <c r="E40" s="126"/>
      <c r="F40" s="161"/>
      <c r="G40" s="165">
        <f>G38-G39</f>
        <v>0</v>
      </c>
      <c r="H40" s="163"/>
      <c r="I40" s="163"/>
      <c r="J40" s="164"/>
      <c r="K40" s="162">
        <f>K38-K39</f>
        <v>0</v>
      </c>
      <c r="L40" s="163"/>
      <c r="M40" s="163"/>
      <c r="N40" s="164"/>
      <c r="O40" s="275">
        <f>O38-O39</f>
        <v>0</v>
      </c>
      <c r="P40" s="276"/>
      <c r="Q40" s="276"/>
      <c r="R40" s="277"/>
      <c r="S40" s="275">
        <v>0</v>
      </c>
      <c r="T40" s="276"/>
      <c r="U40" s="276"/>
      <c r="V40" s="277"/>
      <c r="W40" s="153">
        <f t="shared" si="2"/>
        <v>0</v>
      </c>
      <c r="X40" s="154"/>
      <c r="Y40" s="154"/>
      <c r="Z40" s="155"/>
      <c r="AA40" s="132">
        <f>AG33*W33/100</f>
        <v>28.9296</v>
      </c>
      <c r="AB40" s="233"/>
      <c r="AC40" s="233"/>
      <c r="AD40" s="233"/>
      <c r="AE40" s="233"/>
      <c r="AF40" s="233"/>
      <c r="AG40" s="233"/>
      <c r="AH40" s="233"/>
      <c r="AI40" s="233"/>
    </row>
    <row r="41" spans="1:26" ht="12.75">
      <c r="A41" s="187"/>
      <c r="B41" s="125" t="s">
        <v>30</v>
      </c>
      <c r="C41" s="126"/>
      <c r="D41" s="126"/>
      <c r="E41" s="126"/>
      <c r="F41" s="161"/>
      <c r="G41" s="156">
        <f>G34/100*$L$2</f>
        <v>22.049999999999997</v>
      </c>
      <c r="H41" s="157"/>
      <c r="I41" s="157"/>
      <c r="J41" s="158"/>
      <c r="K41" s="160">
        <f>K34/100*$L$2</f>
        <v>22.049999999999997</v>
      </c>
      <c r="L41" s="157"/>
      <c r="M41" s="157"/>
      <c r="N41" s="158"/>
      <c r="O41" s="246">
        <f>O34/100*$L$2</f>
        <v>0</v>
      </c>
      <c r="P41" s="247"/>
      <c r="Q41" s="247"/>
      <c r="R41" s="248"/>
      <c r="S41" s="246">
        <f>S34/100*$L$2</f>
        <v>0</v>
      </c>
      <c r="T41" s="247"/>
      <c r="U41" s="247"/>
      <c r="V41" s="248"/>
      <c r="W41" s="153">
        <f t="shared" si="2"/>
        <v>44.099999999999994</v>
      </c>
      <c r="X41" s="154"/>
      <c r="Y41" s="154"/>
      <c r="Z41" s="155"/>
    </row>
    <row r="42" spans="1:26" ht="12.75">
      <c r="A42" s="187"/>
      <c r="B42" s="125" t="s">
        <v>44</v>
      </c>
      <c r="C42" s="126"/>
      <c r="D42" s="126"/>
      <c r="E42" s="126"/>
      <c r="F42" s="161"/>
      <c r="G42" s="156">
        <f>G41-G38-G37</f>
        <v>-14.450000000000003</v>
      </c>
      <c r="H42" s="157"/>
      <c r="I42" s="157"/>
      <c r="J42" s="158"/>
      <c r="K42" s="160">
        <f>K41-K38-K37</f>
        <v>-14.450000000000003</v>
      </c>
      <c r="L42" s="157"/>
      <c r="M42" s="157"/>
      <c r="N42" s="158"/>
      <c r="O42" s="246">
        <f>O41-O38-O37</f>
        <v>0</v>
      </c>
      <c r="P42" s="247"/>
      <c r="Q42" s="247"/>
      <c r="R42" s="248"/>
      <c r="S42" s="246">
        <f>S41-S38-S37</f>
        <v>0</v>
      </c>
      <c r="T42" s="247"/>
      <c r="U42" s="247"/>
      <c r="V42" s="248"/>
      <c r="W42" s="153">
        <f t="shared" si="2"/>
        <v>-28.900000000000006</v>
      </c>
      <c r="X42" s="154"/>
      <c r="Y42" s="154"/>
      <c r="Z42" s="155"/>
    </row>
    <row r="43" spans="1:26" ht="12.75" customHeight="1">
      <c r="A43" s="187"/>
      <c r="B43" s="125" t="s">
        <v>45</v>
      </c>
      <c r="C43" s="126"/>
      <c r="D43" s="126"/>
      <c r="E43" s="126"/>
      <c r="F43" s="161"/>
      <c r="G43" s="156">
        <f>G42+G40</f>
        <v>-14.450000000000003</v>
      </c>
      <c r="H43" s="157"/>
      <c r="I43" s="157"/>
      <c r="J43" s="158"/>
      <c r="K43" s="160">
        <f>K42+K40</f>
        <v>-14.450000000000003</v>
      </c>
      <c r="L43" s="157"/>
      <c r="M43" s="157"/>
      <c r="N43" s="158"/>
      <c r="O43" s="246">
        <f>O42+O40</f>
        <v>0</v>
      </c>
      <c r="P43" s="247"/>
      <c r="Q43" s="247"/>
      <c r="R43" s="248"/>
      <c r="S43" s="246">
        <f>S42+S40</f>
        <v>0</v>
      </c>
      <c r="T43" s="247"/>
      <c r="U43" s="247"/>
      <c r="V43" s="248"/>
      <c r="W43" s="153">
        <f t="shared" si="2"/>
        <v>-28.900000000000006</v>
      </c>
      <c r="X43" s="154"/>
      <c r="Y43" s="154"/>
      <c r="Z43" s="155"/>
    </row>
    <row r="44" spans="1:26" ht="12.75">
      <c r="A44" s="187"/>
      <c r="B44" s="194" t="s">
        <v>26</v>
      </c>
      <c r="C44" s="98"/>
      <c r="D44" s="98"/>
      <c r="E44" s="98"/>
      <c r="F44" s="195"/>
      <c r="G44" s="196">
        <f>$AG36/100*$AL$3</f>
        <v>0</v>
      </c>
      <c r="H44" s="197"/>
      <c r="I44" s="197"/>
      <c r="J44" s="198"/>
      <c r="K44" s="196">
        <f>$AG36/100*$AL$4</f>
        <v>0</v>
      </c>
      <c r="L44" s="197"/>
      <c r="M44" s="197"/>
      <c r="N44" s="198"/>
      <c r="O44" s="137">
        <v>0</v>
      </c>
      <c r="P44" s="138"/>
      <c r="Q44" s="138"/>
      <c r="R44" s="139"/>
      <c r="S44" s="137">
        <v>0</v>
      </c>
      <c r="T44" s="138"/>
      <c r="U44" s="138"/>
      <c r="V44" s="139"/>
      <c r="W44" s="153">
        <f t="shared" si="2"/>
        <v>0</v>
      </c>
      <c r="X44" s="154"/>
      <c r="Y44" s="154"/>
      <c r="Z44" s="155"/>
    </row>
    <row r="45" spans="1:26" ht="13.5" thickBot="1">
      <c r="A45" s="187"/>
      <c r="B45" s="191" t="s">
        <v>28</v>
      </c>
      <c r="C45" s="192"/>
      <c r="D45" s="192"/>
      <c r="E45" s="192"/>
      <c r="F45" s="193"/>
      <c r="G45" s="149">
        <f>IF(G44&lt;0,G37,G37+G44)</f>
        <v>20</v>
      </c>
      <c r="H45" s="147"/>
      <c r="I45" s="147"/>
      <c r="J45" s="148"/>
      <c r="K45" s="146">
        <f>IF(K44&lt;0,K37,K37+K44)</f>
        <v>20</v>
      </c>
      <c r="L45" s="147"/>
      <c r="M45" s="147"/>
      <c r="N45" s="148"/>
      <c r="O45" s="255">
        <f>IF(O44&lt;0,O37,O37+O44)</f>
        <v>0</v>
      </c>
      <c r="P45" s="256"/>
      <c r="Q45" s="256"/>
      <c r="R45" s="257"/>
      <c r="S45" s="255">
        <f>IF(S44&lt;0,S37,S37+S44)</f>
        <v>0</v>
      </c>
      <c r="T45" s="256"/>
      <c r="U45" s="256"/>
      <c r="V45" s="257"/>
      <c r="W45" s="150">
        <f t="shared" si="2"/>
        <v>40</v>
      </c>
      <c r="X45" s="151"/>
      <c r="Y45" s="151"/>
      <c r="Z45" s="152"/>
    </row>
    <row r="46" spans="1:35" ht="12.75" customHeight="1">
      <c r="A46" s="188" t="s">
        <v>64</v>
      </c>
      <c r="B46" s="93" t="s">
        <v>23</v>
      </c>
      <c r="C46" s="94"/>
      <c r="D46" s="94"/>
      <c r="E46" s="94"/>
      <c r="F46" s="199"/>
      <c r="G46" s="185">
        <v>4140</v>
      </c>
      <c r="H46" s="183"/>
      <c r="I46" s="183"/>
      <c r="J46" s="184"/>
      <c r="K46" s="182">
        <v>4140</v>
      </c>
      <c r="L46" s="183"/>
      <c r="M46" s="183"/>
      <c r="N46" s="184"/>
      <c r="O46" s="242">
        <v>0</v>
      </c>
      <c r="P46" s="243"/>
      <c r="Q46" s="243"/>
      <c r="R46" s="244"/>
      <c r="S46" s="242">
        <v>0</v>
      </c>
      <c r="T46" s="243"/>
      <c r="U46" s="243"/>
      <c r="V46" s="244"/>
      <c r="W46" s="170">
        <f>SUM(G46:V46)</f>
        <v>8280</v>
      </c>
      <c r="X46" s="171"/>
      <c r="Y46" s="171"/>
      <c r="Z46" s="172"/>
      <c r="AA46" s="236" t="s">
        <v>53</v>
      </c>
      <c r="AB46" s="94"/>
      <c r="AC46" s="94"/>
      <c r="AD46" s="94"/>
      <c r="AE46" s="94"/>
      <c r="AF46" s="94"/>
      <c r="AG46" s="269">
        <v>0.132</v>
      </c>
      <c r="AH46" s="270"/>
      <c r="AI46" s="271"/>
    </row>
    <row r="47" spans="1:35" ht="12.75">
      <c r="A47" s="187"/>
      <c r="B47" s="125" t="s">
        <v>24</v>
      </c>
      <c r="C47" s="126"/>
      <c r="D47" s="126"/>
      <c r="E47" s="126"/>
      <c r="F47" s="161"/>
      <c r="G47" s="239">
        <v>4140</v>
      </c>
      <c r="H47" s="240"/>
      <c r="I47" s="240"/>
      <c r="J47" s="241"/>
      <c r="K47" s="166">
        <v>4140</v>
      </c>
      <c r="L47" s="167"/>
      <c r="M47" s="167"/>
      <c r="N47" s="168"/>
      <c r="O47" s="239">
        <v>0</v>
      </c>
      <c r="P47" s="240"/>
      <c r="Q47" s="240"/>
      <c r="R47" s="241"/>
      <c r="S47" s="239">
        <v>0</v>
      </c>
      <c r="T47" s="240"/>
      <c r="U47" s="240"/>
      <c r="V47" s="241"/>
      <c r="W47" s="153">
        <f aca="true" t="shared" si="3" ref="W47:W58">G47+K47+O47+S47</f>
        <v>8280</v>
      </c>
      <c r="X47" s="154"/>
      <c r="Y47" s="154"/>
      <c r="Z47" s="155"/>
      <c r="AA47" s="205" t="s">
        <v>54</v>
      </c>
      <c r="AB47" s="126"/>
      <c r="AC47" s="126"/>
      <c r="AD47" s="126"/>
      <c r="AE47" s="126"/>
      <c r="AF47" s="126"/>
      <c r="AG47" s="278">
        <v>10.9</v>
      </c>
      <c r="AH47" s="278"/>
      <c r="AI47" s="279"/>
    </row>
    <row r="48" spans="1:35" ht="12.75">
      <c r="A48" s="187"/>
      <c r="B48" s="125" t="s">
        <v>29</v>
      </c>
      <c r="C48" s="126"/>
      <c r="D48" s="126"/>
      <c r="E48" s="126"/>
      <c r="F48" s="161"/>
      <c r="G48" s="156">
        <f>G47*$Q$2/100</f>
        <v>12.42</v>
      </c>
      <c r="H48" s="157"/>
      <c r="I48" s="157"/>
      <c r="J48" s="158"/>
      <c r="K48" s="156">
        <f>K47*$Q$2/100</f>
        <v>12.42</v>
      </c>
      <c r="L48" s="157"/>
      <c r="M48" s="157"/>
      <c r="N48" s="158"/>
      <c r="O48" s="156">
        <f>O47*$Q$2/100</f>
        <v>0</v>
      </c>
      <c r="P48" s="157"/>
      <c r="Q48" s="157"/>
      <c r="R48" s="158"/>
      <c r="S48" s="156">
        <f>S47*$Q$2/100</f>
        <v>0</v>
      </c>
      <c r="T48" s="157"/>
      <c r="U48" s="157"/>
      <c r="V48" s="158"/>
      <c r="W48" s="153">
        <f t="shared" si="3"/>
        <v>24.84</v>
      </c>
      <c r="X48" s="154"/>
      <c r="Y48" s="154"/>
      <c r="Z48" s="155"/>
      <c r="AA48" s="205" t="s">
        <v>55</v>
      </c>
      <c r="AB48" s="126"/>
      <c r="AC48" s="126"/>
      <c r="AD48" s="126"/>
      <c r="AE48" s="126"/>
      <c r="AF48" s="126"/>
      <c r="AG48" s="134">
        <f>AG47</f>
        <v>10.9</v>
      </c>
      <c r="AH48" s="134"/>
      <c r="AI48" s="135"/>
    </row>
    <row r="49" spans="1:35" ht="12.75">
      <c r="A49" s="187"/>
      <c r="B49" s="125" t="s">
        <v>10</v>
      </c>
      <c r="C49" s="126"/>
      <c r="D49" s="126"/>
      <c r="E49" s="126"/>
      <c r="F49" s="161"/>
      <c r="G49" s="169">
        <v>20</v>
      </c>
      <c r="H49" s="167"/>
      <c r="I49" s="167"/>
      <c r="J49" s="168"/>
      <c r="K49" s="166">
        <v>20</v>
      </c>
      <c r="L49" s="167"/>
      <c r="M49" s="167"/>
      <c r="N49" s="168"/>
      <c r="O49" s="239">
        <v>0</v>
      </c>
      <c r="P49" s="240"/>
      <c r="Q49" s="240"/>
      <c r="R49" s="241"/>
      <c r="S49" s="239">
        <v>0</v>
      </c>
      <c r="T49" s="240"/>
      <c r="U49" s="240"/>
      <c r="V49" s="241"/>
      <c r="W49" s="153">
        <f t="shared" si="3"/>
        <v>40</v>
      </c>
      <c r="X49" s="154"/>
      <c r="Y49" s="154"/>
      <c r="Z49" s="155"/>
      <c r="AA49" s="205" t="s">
        <v>56</v>
      </c>
      <c r="AB49" s="126"/>
      <c r="AC49" s="126"/>
      <c r="AD49" s="126"/>
      <c r="AE49" s="126"/>
      <c r="AF49" s="126"/>
      <c r="AG49" s="134">
        <f>W56+AG48</f>
        <v>0</v>
      </c>
      <c r="AH49" s="134"/>
      <c r="AI49" s="135"/>
    </row>
    <row r="50" spans="1:35" ht="13.5" thickBot="1">
      <c r="A50" s="187"/>
      <c r="B50" s="125" t="s">
        <v>58</v>
      </c>
      <c r="C50" s="126"/>
      <c r="D50" s="126"/>
      <c r="E50" s="126"/>
      <c r="F50" s="161"/>
      <c r="G50" s="156">
        <f>IF(G48&lt;G49,G49,G48)</f>
        <v>20</v>
      </c>
      <c r="H50" s="157"/>
      <c r="I50" s="157"/>
      <c r="J50" s="158"/>
      <c r="K50" s="160">
        <f>IF(K48&lt;K49,K49,K48)</f>
        <v>20</v>
      </c>
      <c r="L50" s="157"/>
      <c r="M50" s="157"/>
      <c r="N50" s="158"/>
      <c r="O50" s="246">
        <f>IF(O48&lt;O49,O49,O48)</f>
        <v>0</v>
      </c>
      <c r="P50" s="247"/>
      <c r="Q50" s="247"/>
      <c r="R50" s="248"/>
      <c r="S50" s="246">
        <f>IF(S48&lt;S49,S49,S48)</f>
        <v>0</v>
      </c>
      <c r="T50" s="247"/>
      <c r="U50" s="247"/>
      <c r="V50" s="248"/>
      <c r="W50" s="153">
        <f t="shared" si="3"/>
        <v>40</v>
      </c>
      <c r="X50" s="154"/>
      <c r="Y50" s="154"/>
      <c r="Z50" s="155"/>
      <c r="AA50" s="232" t="s">
        <v>57</v>
      </c>
      <c r="AB50" s="90"/>
      <c r="AC50" s="90"/>
      <c r="AD50" s="90"/>
      <c r="AE50" s="90"/>
      <c r="AF50" s="90"/>
      <c r="AG50" s="91">
        <f>-AG48+AG49-W57</f>
        <v>-10.9</v>
      </c>
      <c r="AH50" s="91"/>
      <c r="AI50" s="85"/>
    </row>
    <row r="51" spans="1:35" ht="13.5" thickBot="1">
      <c r="A51" s="187"/>
      <c r="B51" s="125" t="s">
        <v>41</v>
      </c>
      <c r="C51" s="126"/>
      <c r="D51" s="126"/>
      <c r="E51" s="126"/>
      <c r="F51" s="161"/>
      <c r="G51" s="156">
        <v>16.5</v>
      </c>
      <c r="H51" s="157"/>
      <c r="I51" s="157"/>
      <c r="J51" s="158"/>
      <c r="K51" s="156">
        <v>16.5</v>
      </c>
      <c r="L51" s="157"/>
      <c r="M51" s="157"/>
      <c r="N51" s="158"/>
      <c r="O51" s="246">
        <v>0</v>
      </c>
      <c r="P51" s="247"/>
      <c r="Q51" s="247"/>
      <c r="R51" s="248"/>
      <c r="S51" s="246">
        <v>0</v>
      </c>
      <c r="T51" s="247"/>
      <c r="U51" s="247"/>
      <c r="V51" s="248"/>
      <c r="W51" s="153">
        <f t="shared" si="3"/>
        <v>33</v>
      </c>
      <c r="X51" s="154"/>
      <c r="Y51" s="154"/>
      <c r="Z51" s="155"/>
      <c r="AA51" s="230" t="s">
        <v>59</v>
      </c>
      <c r="AB51" s="231"/>
      <c r="AC51" s="231"/>
      <c r="AD51" s="231"/>
      <c r="AE51" s="231"/>
      <c r="AF51" s="231"/>
      <c r="AG51" s="266">
        <f>AG47+AG50</f>
        <v>0</v>
      </c>
      <c r="AH51" s="267"/>
      <c r="AI51" s="268"/>
    </row>
    <row r="52" spans="1:35" ht="12.75">
      <c r="A52" s="187"/>
      <c r="B52" s="125" t="s">
        <v>42</v>
      </c>
      <c r="C52" s="126"/>
      <c r="D52" s="126"/>
      <c r="E52" s="126"/>
      <c r="F52" s="161"/>
      <c r="G52" s="169">
        <v>16.5</v>
      </c>
      <c r="H52" s="167"/>
      <c r="I52" s="167"/>
      <c r="J52" s="168"/>
      <c r="K52" s="169">
        <v>16.5</v>
      </c>
      <c r="L52" s="167"/>
      <c r="M52" s="167"/>
      <c r="N52" s="168"/>
      <c r="O52" s="239">
        <v>0</v>
      </c>
      <c r="P52" s="240"/>
      <c r="Q52" s="240"/>
      <c r="R52" s="241"/>
      <c r="S52" s="239">
        <v>0</v>
      </c>
      <c r="T52" s="240"/>
      <c r="U52" s="240"/>
      <c r="V52" s="241"/>
      <c r="W52" s="153">
        <f t="shared" si="3"/>
        <v>33</v>
      </c>
      <c r="X52" s="154"/>
      <c r="Y52" s="154"/>
      <c r="Z52" s="155"/>
      <c r="AA52" s="136">
        <f>(W51+W50)/W47*100-$L$2</f>
        <v>0.1316425120772946</v>
      </c>
      <c r="AB52" s="136"/>
      <c r="AC52" s="136"/>
      <c r="AD52" s="136"/>
      <c r="AE52" s="136"/>
      <c r="AF52" s="136"/>
      <c r="AG52" s="136"/>
      <c r="AH52" s="136"/>
      <c r="AI52" s="136"/>
    </row>
    <row r="53" spans="1:35" ht="12.75">
      <c r="A53" s="187"/>
      <c r="B53" s="125" t="s">
        <v>43</v>
      </c>
      <c r="C53" s="126"/>
      <c r="D53" s="126"/>
      <c r="E53" s="126"/>
      <c r="F53" s="161"/>
      <c r="G53" s="165">
        <f>G51-G52</f>
        <v>0</v>
      </c>
      <c r="H53" s="163"/>
      <c r="I53" s="163"/>
      <c r="J53" s="164"/>
      <c r="K53" s="162">
        <f>K51-K52</f>
        <v>0</v>
      </c>
      <c r="L53" s="163"/>
      <c r="M53" s="163"/>
      <c r="N53" s="164"/>
      <c r="O53" s="275">
        <f>O51-O52</f>
        <v>0</v>
      </c>
      <c r="P53" s="276"/>
      <c r="Q53" s="276"/>
      <c r="R53" s="277"/>
      <c r="S53" s="275">
        <v>0</v>
      </c>
      <c r="T53" s="276"/>
      <c r="U53" s="276"/>
      <c r="V53" s="277"/>
      <c r="W53" s="153">
        <f t="shared" si="3"/>
        <v>0</v>
      </c>
      <c r="X53" s="154"/>
      <c r="Y53" s="154"/>
      <c r="Z53" s="155"/>
      <c r="AA53" s="132">
        <f>AG46*W46/100</f>
        <v>10.9296</v>
      </c>
      <c r="AB53" s="233"/>
      <c r="AC53" s="233"/>
      <c r="AD53" s="233"/>
      <c r="AE53" s="233"/>
      <c r="AF53" s="233"/>
      <c r="AG53" s="233"/>
      <c r="AH53" s="233"/>
      <c r="AI53" s="233"/>
    </row>
    <row r="54" spans="1:26" ht="12.75">
      <c r="A54" s="187"/>
      <c r="B54" s="125" t="s">
        <v>30</v>
      </c>
      <c r="C54" s="126"/>
      <c r="D54" s="126"/>
      <c r="E54" s="126"/>
      <c r="F54" s="161"/>
      <c r="G54" s="156">
        <f>G47/100*$L$2</f>
        <v>31.049999999999997</v>
      </c>
      <c r="H54" s="157"/>
      <c r="I54" s="157"/>
      <c r="J54" s="158"/>
      <c r="K54" s="160">
        <f>K47/100*$L$2</f>
        <v>31.049999999999997</v>
      </c>
      <c r="L54" s="157"/>
      <c r="M54" s="157"/>
      <c r="N54" s="158"/>
      <c r="O54" s="246">
        <f>O47/100*$L$2</f>
        <v>0</v>
      </c>
      <c r="P54" s="247"/>
      <c r="Q54" s="247"/>
      <c r="R54" s="248"/>
      <c r="S54" s="246">
        <f>S47/100*$L$2</f>
        <v>0</v>
      </c>
      <c r="T54" s="247"/>
      <c r="U54" s="247"/>
      <c r="V54" s="248"/>
      <c r="W54" s="153">
        <f t="shared" si="3"/>
        <v>62.099999999999994</v>
      </c>
      <c r="X54" s="154"/>
      <c r="Y54" s="154"/>
      <c r="Z54" s="155"/>
    </row>
    <row r="55" spans="1:26" ht="12.75">
      <c r="A55" s="187"/>
      <c r="B55" s="125" t="s">
        <v>44</v>
      </c>
      <c r="C55" s="126"/>
      <c r="D55" s="126"/>
      <c r="E55" s="126"/>
      <c r="F55" s="161"/>
      <c r="G55" s="156">
        <f>G54-G51-G50</f>
        <v>-5.450000000000003</v>
      </c>
      <c r="H55" s="157"/>
      <c r="I55" s="157"/>
      <c r="J55" s="158"/>
      <c r="K55" s="160">
        <f>K54-K51-K50</f>
        <v>-5.450000000000003</v>
      </c>
      <c r="L55" s="157"/>
      <c r="M55" s="157"/>
      <c r="N55" s="158"/>
      <c r="O55" s="246">
        <f>O54-O51-O50</f>
        <v>0</v>
      </c>
      <c r="P55" s="247"/>
      <c r="Q55" s="247"/>
      <c r="R55" s="248"/>
      <c r="S55" s="246">
        <f>S54-S51-S50</f>
        <v>0</v>
      </c>
      <c r="T55" s="247"/>
      <c r="U55" s="247"/>
      <c r="V55" s="248"/>
      <c r="W55" s="153">
        <f t="shared" si="3"/>
        <v>-10.900000000000006</v>
      </c>
      <c r="X55" s="154"/>
      <c r="Y55" s="154"/>
      <c r="Z55" s="155"/>
    </row>
    <row r="56" spans="1:26" ht="12.75" customHeight="1">
      <c r="A56" s="187"/>
      <c r="B56" s="125" t="s">
        <v>45</v>
      </c>
      <c r="C56" s="126"/>
      <c r="D56" s="126"/>
      <c r="E56" s="126"/>
      <c r="F56" s="161"/>
      <c r="G56" s="156">
        <f>G55+G53</f>
        <v>-5.450000000000003</v>
      </c>
      <c r="H56" s="157"/>
      <c r="I56" s="157"/>
      <c r="J56" s="158"/>
      <c r="K56" s="160">
        <f>K55+K53</f>
        <v>-5.450000000000003</v>
      </c>
      <c r="L56" s="157"/>
      <c r="M56" s="157"/>
      <c r="N56" s="158"/>
      <c r="O56" s="246">
        <f>O55+O53</f>
        <v>0</v>
      </c>
      <c r="P56" s="247"/>
      <c r="Q56" s="247"/>
      <c r="R56" s="248"/>
      <c r="S56" s="246">
        <f>S55+S53</f>
        <v>0</v>
      </c>
      <c r="T56" s="247"/>
      <c r="U56" s="247"/>
      <c r="V56" s="248"/>
      <c r="W56" s="153">
        <f t="shared" si="3"/>
        <v>-10.900000000000006</v>
      </c>
      <c r="X56" s="154"/>
      <c r="Y56" s="154"/>
      <c r="Z56" s="155"/>
    </row>
    <row r="57" spans="1:26" ht="12.75">
      <c r="A57" s="187"/>
      <c r="B57" s="194" t="s">
        <v>26</v>
      </c>
      <c r="C57" s="98"/>
      <c r="D57" s="98"/>
      <c r="E57" s="98"/>
      <c r="F57" s="195"/>
      <c r="G57" s="196">
        <f>$AG49/100*$AL$3</f>
        <v>0</v>
      </c>
      <c r="H57" s="197"/>
      <c r="I57" s="197"/>
      <c r="J57" s="198"/>
      <c r="K57" s="196">
        <f>$AG49/100*$AL$4</f>
        <v>0</v>
      </c>
      <c r="L57" s="197"/>
      <c r="M57" s="197"/>
      <c r="N57" s="198"/>
      <c r="O57" s="137">
        <v>0</v>
      </c>
      <c r="P57" s="138"/>
      <c r="Q57" s="138"/>
      <c r="R57" s="139"/>
      <c r="S57" s="137">
        <v>0</v>
      </c>
      <c r="T57" s="138"/>
      <c r="U57" s="138"/>
      <c r="V57" s="139"/>
      <c r="W57" s="153">
        <f t="shared" si="3"/>
        <v>0</v>
      </c>
      <c r="X57" s="154"/>
      <c r="Y57" s="154"/>
      <c r="Z57" s="155"/>
    </row>
    <row r="58" spans="1:26" ht="13.5" thickBot="1">
      <c r="A58" s="187"/>
      <c r="B58" s="191" t="s">
        <v>28</v>
      </c>
      <c r="C58" s="192"/>
      <c r="D58" s="192"/>
      <c r="E58" s="192"/>
      <c r="F58" s="193"/>
      <c r="G58" s="149">
        <f>IF(G57&lt;0,G50,G50+G57)</f>
        <v>20</v>
      </c>
      <c r="H58" s="147"/>
      <c r="I58" s="147"/>
      <c r="J58" s="148"/>
      <c r="K58" s="146">
        <f>IF(K57&lt;0,K50,K50+K57)</f>
        <v>20</v>
      </c>
      <c r="L58" s="147"/>
      <c r="M58" s="147"/>
      <c r="N58" s="148"/>
      <c r="O58" s="255">
        <f>IF(O57&lt;0,O50,O50+O57)</f>
        <v>0</v>
      </c>
      <c r="P58" s="256"/>
      <c r="Q58" s="256"/>
      <c r="R58" s="257"/>
      <c r="S58" s="255">
        <f>IF(S57&lt;0,S50,S50+S57)</f>
        <v>0</v>
      </c>
      <c r="T58" s="256"/>
      <c r="U58" s="256"/>
      <c r="V58" s="257"/>
      <c r="W58" s="150">
        <f t="shared" si="3"/>
        <v>40</v>
      </c>
      <c r="X58" s="151"/>
      <c r="Y58" s="151"/>
      <c r="Z58" s="152"/>
    </row>
    <row r="59" spans="1:35" ht="12.75" customHeight="1">
      <c r="A59" s="188" t="s">
        <v>65</v>
      </c>
      <c r="B59" s="93" t="s">
        <v>23</v>
      </c>
      <c r="C59" s="94"/>
      <c r="D59" s="94"/>
      <c r="E59" s="94"/>
      <c r="F59" s="199"/>
      <c r="G59" s="185">
        <v>5470</v>
      </c>
      <c r="H59" s="183"/>
      <c r="I59" s="183"/>
      <c r="J59" s="184"/>
      <c r="K59" s="182">
        <v>5470</v>
      </c>
      <c r="L59" s="183"/>
      <c r="M59" s="183"/>
      <c r="N59" s="184"/>
      <c r="O59" s="242">
        <v>0</v>
      </c>
      <c r="P59" s="243"/>
      <c r="Q59" s="243"/>
      <c r="R59" s="244"/>
      <c r="S59" s="242">
        <v>0</v>
      </c>
      <c r="T59" s="243"/>
      <c r="U59" s="243"/>
      <c r="V59" s="244"/>
      <c r="W59" s="170">
        <f>SUM(G59:V59)</f>
        <v>10940</v>
      </c>
      <c r="X59" s="171"/>
      <c r="Y59" s="171"/>
      <c r="Z59" s="172"/>
      <c r="AA59" s="236" t="s">
        <v>53</v>
      </c>
      <c r="AB59" s="94"/>
      <c r="AC59" s="94"/>
      <c r="AD59" s="94"/>
      <c r="AE59" s="94"/>
      <c r="AF59" s="94"/>
      <c r="AG59" s="269">
        <v>0</v>
      </c>
      <c r="AH59" s="270"/>
      <c r="AI59" s="271"/>
    </row>
    <row r="60" spans="1:35" ht="12.75">
      <c r="A60" s="187"/>
      <c r="B60" s="125" t="s">
        <v>24</v>
      </c>
      <c r="C60" s="126"/>
      <c r="D60" s="126"/>
      <c r="E60" s="126"/>
      <c r="F60" s="161"/>
      <c r="G60" s="239">
        <v>5470</v>
      </c>
      <c r="H60" s="240"/>
      <c r="I60" s="240"/>
      <c r="J60" s="241"/>
      <c r="K60" s="166">
        <v>5470</v>
      </c>
      <c r="L60" s="167"/>
      <c r="M60" s="167"/>
      <c r="N60" s="168"/>
      <c r="O60" s="239">
        <v>0</v>
      </c>
      <c r="P60" s="240"/>
      <c r="Q60" s="240"/>
      <c r="R60" s="241"/>
      <c r="S60" s="239">
        <v>0</v>
      </c>
      <c r="T60" s="240"/>
      <c r="U60" s="240"/>
      <c r="V60" s="241"/>
      <c r="W60" s="153">
        <f aca="true" t="shared" si="4" ref="W60:W71">G60+K60+O60+S60</f>
        <v>10940</v>
      </c>
      <c r="X60" s="154"/>
      <c r="Y60" s="154"/>
      <c r="Z60" s="155"/>
      <c r="AA60" s="205" t="s">
        <v>54</v>
      </c>
      <c r="AB60" s="126"/>
      <c r="AC60" s="126"/>
      <c r="AD60" s="126"/>
      <c r="AE60" s="126"/>
      <c r="AF60" s="126"/>
      <c r="AG60" s="278">
        <v>0</v>
      </c>
      <c r="AH60" s="278"/>
      <c r="AI60" s="279"/>
    </row>
    <row r="61" spans="1:35" ht="12.75">
      <c r="A61" s="187"/>
      <c r="B61" s="125" t="s">
        <v>29</v>
      </c>
      <c r="C61" s="126"/>
      <c r="D61" s="126"/>
      <c r="E61" s="126"/>
      <c r="F61" s="161"/>
      <c r="G61" s="156">
        <f>G60*$Q$2/100</f>
        <v>16.41</v>
      </c>
      <c r="H61" s="157"/>
      <c r="I61" s="157"/>
      <c r="J61" s="158"/>
      <c r="K61" s="156">
        <f>K60*$Q$2/100</f>
        <v>16.41</v>
      </c>
      <c r="L61" s="157"/>
      <c r="M61" s="157"/>
      <c r="N61" s="158"/>
      <c r="O61" s="156">
        <f>O60*$Q$2/100</f>
        <v>0</v>
      </c>
      <c r="P61" s="157"/>
      <c r="Q61" s="157"/>
      <c r="R61" s="158"/>
      <c r="S61" s="156">
        <f>S60*$Q$2/100</f>
        <v>0</v>
      </c>
      <c r="T61" s="157"/>
      <c r="U61" s="157"/>
      <c r="V61" s="158"/>
      <c r="W61" s="153">
        <f t="shared" si="4"/>
        <v>32.82</v>
      </c>
      <c r="X61" s="154"/>
      <c r="Y61" s="154"/>
      <c r="Z61" s="155"/>
      <c r="AA61" s="205" t="s">
        <v>55</v>
      </c>
      <c r="AB61" s="126"/>
      <c r="AC61" s="126"/>
      <c r="AD61" s="126"/>
      <c r="AE61" s="126"/>
      <c r="AF61" s="126"/>
      <c r="AG61" s="134">
        <f>AG60</f>
        <v>0</v>
      </c>
      <c r="AH61" s="134"/>
      <c r="AI61" s="135"/>
    </row>
    <row r="62" spans="1:35" ht="12.75">
      <c r="A62" s="187"/>
      <c r="B62" s="125" t="s">
        <v>10</v>
      </c>
      <c r="C62" s="126"/>
      <c r="D62" s="126"/>
      <c r="E62" s="126"/>
      <c r="F62" s="161"/>
      <c r="G62" s="169">
        <v>20</v>
      </c>
      <c r="H62" s="167"/>
      <c r="I62" s="167"/>
      <c r="J62" s="168"/>
      <c r="K62" s="166">
        <v>20</v>
      </c>
      <c r="L62" s="167"/>
      <c r="M62" s="167"/>
      <c r="N62" s="168"/>
      <c r="O62" s="239">
        <v>0</v>
      </c>
      <c r="P62" s="240"/>
      <c r="Q62" s="240"/>
      <c r="R62" s="241"/>
      <c r="S62" s="239">
        <v>0</v>
      </c>
      <c r="T62" s="240"/>
      <c r="U62" s="240"/>
      <c r="V62" s="241"/>
      <c r="W62" s="153">
        <f t="shared" si="4"/>
        <v>40</v>
      </c>
      <c r="X62" s="154"/>
      <c r="Y62" s="154"/>
      <c r="Z62" s="155"/>
      <c r="AA62" s="205" t="s">
        <v>56</v>
      </c>
      <c r="AB62" s="126"/>
      <c r="AC62" s="126"/>
      <c r="AD62" s="126"/>
      <c r="AE62" s="126"/>
      <c r="AF62" s="126"/>
      <c r="AG62" s="134">
        <f>W69+AG61</f>
        <v>9.050000000000011</v>
      </c>
      <c r="AH62" s="134"/>
      <c r="AI62" s="135"/>
    </row>
    <row r="63" spans="1:35" ht="13.5" thickBot="1">
      <c r="A63" s="187"/>
      <c r="B63" s="125" t="s">
        <v>58</v>
      </c>
      <c r="C63" s="126"/>
      <c r="D63" s="126"/>
      <c r="E63" s="126"/>
      <c r="F63" s="161"/>
      <c r="G63" s="156">
        <f>IF(G61&lt;G62,G62,G61)</f>
        <v>20</v>
      </c>
      <c r="H63" s="157"/>
      <c r="I63" s="157"/>
      <c r="J63" s="158"/>
      <c r="K63" s="160">
        <f>IF(K61&lt;K62,K62,K61)</f>
        <v>20</v>
      </c>
      <c r="L63" s="157"/>
      <c r="M63" s="157"/>
      <c r="N63" s="158"/>
      <c r="O63" s="246">
        <f>IF(O61&lt;O62,O62,O61)</f>
        <v>0</v>
      </c>
      <c r="P63" s="247"/>
      <c r="Q63" s="247"/>
      <c r="R63" s="248"/>
      <c r="S63" s="246">
        <f>IF(S61&lt;S62,S62,S61)</f>
        <v>0</v>
      </c>
      <c r="T63" s="247"/>
      <c r="U63" s="247"/>
      <c r="V63" s="248"/>
      <c r="W63" s="153">
        <f t="shared" si="4"/>
        <v>40</v>
      </c>
      <c r="X63" s="154"/>
      <c r="Y63" s="154"/>
      <c r="Z63" s="155"/>
      <c r="AA63" s="232" t="s">
        <v>57</v>
      </c>
      <c r="AB63" s="90"/>
      <c r="AC63" s="90"/>
      <c r="AD63" s="90"/>
      <c r="AE63" s="90"/>
      <c r="AF63" s="90"/>
      <c r="AG63" s="91">
        <f>-AG61+AG62-W70</f>
        <v>5.430000000000007</v>
      </c>
      <c r="AH63" s="91"/>
      <c r="AI63" s="85"/>
    </row>
    <row r="64" spans="1:35" ht="13.5" thickBot="1">
      <c r="A64" s="187"/>
      <c r="B64" s="125" t="s">
        <v>41</v>
      </c>
      <c r="C64" s="126"/>
      <c r="D64" s="126"/>
      <c r="E64" s="126"/>
      <c r="F64" s="161"/>
      <c r="G64" s="156">
        <v>16.5</v>
      </c>
      <c r="H64" s="157"/>
      <c r="I64" s="157"/>
      <c r="J64" s="158"/>
      <c r="K64" s="156">
        <v>16.5</v>
      </c>
      <c r="L64" s="157"/>
      <c r="M64" s="157"/>
      <c r="N64" s="158"/>
      <c r="O64" s="246">
        <v>0</v>
      </c>
      <c r="P64" s="247"/>
      <c r="Q64" s="247"/>
      <c r="R64" s="248"/>
      <c r="S64" s="246">
        <v>0</v>
      </c>
      <c r="T64" s="247"/>
      <c r="U64" s="247"/>
      <c r="V64" s="248"/>
      <c r="W64" s="153">
        <f t="shared" si="4"/>
        <v>33</v>
      </c>
      <c r="X64" s="154"/>
      <c r="Y64" s="154"/>
      <c r="Z64" s="155"/>
      <c r="AA64" s="230" t="s">
        <v>59</v>
      </c>
      <c r="AB64" s="231"/>
      <c r="AC64" s="231"/>
      <c r="AD64" s="231"/>
      <c r="AE64" s="231"/>
      <c r="AF64" s="231"/>
      <c r="AG64" s="266">
        <f>AG60+AG63</f>
        <v>5.430000000000007</v>
      </c>
      <c r="AH64" s="267"/>
      <c r="AI64" s="268"/>
    </row>
    <row r="65" spans="1:35" ht="12.75">
      <c r="A65" s="187"/>
      <c r="B65" s="125" t="s">
        <v>42</v>
      </c>
      <c r="C65" s="126"/>
      <c r="D65" s="126"/>
      <c r="E65" s="126"/>
      <c r="F65" s="161"/>
      <c r="G65" s="169">
        <v>16.5</v>
      </c>
      <c r="H65" s="167"/>
      <c r="I65" s="167"/>
      <c r="J65" s="168"/>
      <c r="K65" s="169">
        <v>16.5</v>
      </c>
      <c r="L65" s="167"/>
      <c r="M65" s="167"/>
      <c r="N65" s="168"/>
      <c r="O65" s="239">
        <v>0</v>
      </c>
      <c r="P65" s="240"/>
      <c r="Q65" s="240"/>
      <c r="R65" s="241"/>
      <c r="S65" s="239">
        <v>0</v>
      </c>
      <c r="T65" s="240"/>
      <c r="U65" s="240"/>
      <c r="V65" s="241"/>
      <c r="W65" s="153">
        <f t="shared" si="4"/>
        <v>33</v>
      </c>
      <c r="X65" s="154"/>
      <c r="Y65" s="154"/>
      <c r="Z65" s="155"/>
      <c r="AA65" s="136">
        <f>(W64+W63)/W60*100-$L$2</f>
        <v>-0.0827239488117002</v>
      </c>
      <c r="AB65" s="136"/>
      <c r="AC65" s="136"/>
      <c r="AD65" s="136"/>
      <c r="AE65" s="136"/>
      <c r="AF65" s="136"/>
      <c r="AG65" s="136"/>
      <c r="AH65" s="136"/>
      <c r="AI65" s="136"/>
    </row>
    <row r="66" spans="1:35" ht="12.75">
      <c r="A66" s="187"/>
      <c r="B66" s="125" t="s">
        <v>43</v>
      </c>
      <c r="C66" s="126"/>
      <c r="D66" s="126"/>
      <c r="E66" s="126"/>
      <c r="F66" s="161"/>
      <c r="G66" s="165">
        <f>G64-G65</f>
        <v>0</v>
      </c>
      <c r="H66" s="163"/>
      <c r="I66" s="163"/>
      <c r="J66" s="164"/>
      <c r="K66" s="162">
        <f>K64-K65</f>
        <v>0</v>
      </c>
      <c r="L66" s="163"/>
      <c r="M66" s="163"/>
      <c r="N66" s="164"/>
      <c r="O66" s="275">
        <f>O64-O65</f>
        <v>0</v>
      </c>
      <c r="P66" s="276"/>
      <c r="Q66" s="276"/>
      <c r="R66" s="277"/>
      <c r="S66" s="275">
        <v>0</v>
      </c>
      <c r="T66" s="276"/>
      <c r="U66" s="276"/>
      <c r="V66" s="277"/>
      <c r="W66" s="153">
        <f t="shared" si="4"/>
        <v>0</v>
      </c>
      <c r="X66" s="154"/>
      <c r="Y66" s="154"/>
      <c r="Z66" s="155"/>
      <c r="AA66" s="132">
        <f>AG59*W59/100</f>
        <v>0</v>
      </c>
      <c r="AB66" s="233"/>
      <c r="AC66" s="233"/>
      <c r="AD66" s="233"/>
      <c r="AE66" s="233"/>
      <c r="AF66" s="233"/>
      <c r="AG66" s="233"/>
      <c r="AH66" s="233"/>
      <c r="AI66" s="233"/>
    </row>
    <row r="67" spans="1:26" ht="12.75">
      <c r="A67" s="187"/>
      <c r="B67" s="125" t="s">
        <v>30</v>
      </c>
      <c r="C67" s="126"/>
      <c r="D67" s="126"/>
      <c r="E67" s="126"/>
      <c r="F67" s="161"/>
      <c r="G67" s="156">
        <f>G60/100*$L$2</f>
        <v>41.025000000000006</v>
      </c>
      <c r="H67" s="157"/>
      <c r="I67" s="157"/>
      <c r="J67" s="158"/>
      <c r="K67" s="160">
        <f>K60/100*$L$2</f>
        <v>41.025000000000006</v>
      </c>
      <c r="L67" s="157"/>
      <c r="M67" s="157"/>
      <c r="N67" s="158"/>
      <c r="O67" s="246">
        <f>O60/100*$L$2</f>
        <v>0</v>
      </c>
      <c r="P67" s="247"/>
      <c r="Q67" s="247"/>
      <c r="R67" s="248"/>
      <c r="S67" s="246">
        <f>S60/100*$L$2</f>
        <v>0</v>
      </c>
      <c r="T67" s="247"/>
      <c r="U67" s="247"/>
      <c r="V67" s="248"/>
      <c r="W67" s="153">
        <f t="shared" si="4"/>
        <v>82.05000000000001</v>
      </c>
      <c r="X67" s="154"/>
      <c r="Y67" s="154"/>
      <c r="Z67" s="155"/>
    </row>
    <row r="68" spans="1:26" ht="12.75">
      <c r="A68" s="187"/>
      <c r="B68" s="125" t="s">
        <v>44</v>
      </c>
      <c r="C68" s="126"/>
      <c r="D68" s="126"/>
      <c r="E68" s="126"/>
      <c r="F68" s="161"/>
      <c r="G68" s="156">
        <f>G67-G64-G63</f>
        <v>4.525000000000006</v>
      </c>
      <c r="H68" s="157"/>
      <c r="I68" s="157"/>
      <c r="J68" s="158"/>
      <c r="K68" s="160">
        <f>K67-K64-K63</f>
        <v>4.525000000000006</v>
      </c>
      <c r="L68" s="157"/>
      <c r="M68" s="157"/>
      <c r="N68" s="158"/>
      <c r="O68" s="246">
        <f>O67-O64-O63</f>
        <v>0</v>
      </c>
      <c r="P68" s="247"/>
      <c r="Q68" s="247"/>
      <c r="R68" s="248"/>
      <c r="S68" s="246">
        <f>S67-S64-S63</f>
        <v>0</v>
      </c>
      <c r="T68" s="247"/>
      <c r="U68" s="247"/>
      <c r="V68" s="248"/>
      <c r="W68" s="153">
        <f t="shared" si="4"/>
        <v>9.050000000000011</v>
      </c>
      <c r="X68" s="154"/>
      <c r="Y68" s="154"/>
      <c r="Z68" s="155"/>
    </row>
    <row r="69" spans="1:26" ht="12.75">
      <c r="A69" s="187"/>
      <c r="B69" s="125" t="s">
        <v>45</v>
      </c>
      <c r="C69" s="126"/>
      <c r="D69" s="126"/>
      <c r="E69" s="126"/>
      <c r="F69" s="161"/>
      <c r="G69" s="156">
        <f>G68+G66</f>
        <v>4.525000000000006</v>
      </c>
      <c r="H69" s="157"/>
      <c r="I69" s="157"/>
      <c r="J69" s="158"/>
      <c r="K69" s="160">
        <f>K68+K66</f>
        <v>4.525000000000006</v>
      </c>
      <c r="L69" s="157"/>
      <c r="M69" s="157"/>
      <c r="N69" s="158"/>
      <c r="O69" s="246">
        <f>O68+O66</f>
        <v>0</v>
      </c>
      <c r="P69" s="247"/>
      <c r="Q69" s="247"/>
      <c r="R69" s="248"/>
      <c r="S69" s="246">
        <f>S68+S66</f>
        <v>0</v>
      </c>
      <c r="T69" s="247"/>
      <c r="U69" s="247"/>
      <c r="V69" s="248"/>
      <c r="W69" s="153">
        <f t="shared" si="4"/>
        <v>9.050000000000011</v>
      </c>
      <c r="X69" s="154"/>
      <c r="Y69" s="154"/>
      <c r="Z69" s="155"/>
    </row>
    <row r="70" spans="1:26" ht="12.75">
      <c r="A70" s="187"/>
      <c r="B70" s="194" t="s">
        <v>26</v>
      </c>
      <c r="C70" s="98"/>
      <c r="D70" s="98"/>
      <c r="E70" s="98"/>
      <c r="F70" s="195"/>
      <c r="G70" s="196">
        <f>$AG62/100*$AL$3</f>
        <v>1.8100000000000023</v>
      </c>
      <c r="H70" s="197"/>
      <c r="I70" s="197"/>
      <c r="J70" s="198"/>
      <c r="K70" s="196">
        <f>$AG62/100*$AL$4</f>
        <v>1.8100000000000023</v>
      </c>
      <c r="L70" s="197"/>
      <c r="M70" s="197"/>
      <c r="N70" s="198"/>
      <c r="O70" s="137">
        <v>0</v>
      </c>
      <c r="P70" s="138"/>
      <c r="Q70" s="138"/>
      <c r="R70" s="139"/>
      <c r="S70" s="137">
        <v>0</v>
      </c>
      <c r="T70" s="138"/>
      <c r="U70" s="138"/>
      <c r="V70" s="139"/>
      <c r="W70" s="153">
        <f t="shared" si="4"/>
        <v>3.6200000000000045</v>
      </c>
      <c r="X70" s="154"/>
      <c r="Y70" s="154"/>
      <c r="Z70" s="155"/>
    </row>
    <row r="71" spans="1:26" ht="13.5" thickBot="1">
      <c r="A71" s="189"/>
      <c r="B71" s="191" t="s">
        <v>28</v>
      </c>
      <c r="C71" s="192"/>
      <c r="D71" s="192"/>
      <c r="E71" s="192"/>
      <c r="F71" s="193"/>
      <c r="G71" s="149">
        <f>IF(G70&lt;0,G63,G63+G70)</f>
        <v>21.810000000000002</v>
      </c>
      <c r="H71" s="147"/>
      <c r="I71" s="147"/>
      <c r="J71" s="148"/>
      <c r="K71" s="146">
        <f>IF(K70&lt;0,K63,K63+K70)</f>
        <v>21.810000000000002</v>
      </c>
      <c r="L71" s="147"/>
      <c r="M71" s="147"/>
      <c r="N71" s="148"/>
      <c r="O71" s="255">
        <f>IF(O70&lt;0,O63,O63+O70)</f>
        <v>0</v>
      </c>
      <c r="P71" s="256"/>
      <c r="Q71" s="256"/>
      <c r="R71" s="257"/>
      <c r="S71" s="255">
        <f>IF(S70&lt;0,S63,S63+S70)</f>
        <v>0</v>
      </c>
      <c r="T71" s="256"/>
      <c r="U71" s="256"/>
      <c r="V71" s="257"/>
      <c r="W71" s="150">
        <f t="shared" si="4"/>
        <v>43.620000000000005</v>
      </c>
      <c r="X71" s="151"/>
      <c r="Y71" s="151"/>
      <c r="Z71" s="152"/>
    </row>
    <row r="72" spans="1:35" ht="12.75" customHeight="1">
      <c r="A72" s="140" t="s">
        <v>66</v>
      </c>
      <c r="B72" s="93" t="s">
        <v>23</v>
      </c>
      <c r="C72" s="94"/>
      <c r="D72" s="94"/>
      <c r="E72" s="94"/>
      <c r="F72" s="199"/>
      <c r="G72" s="185">
        <v>6500</v>
      </c>
      <c r="H72" s="183"/>
      <c r="I72" s="183"/>
      <c r="J72" s="184"/>
      <c r="K72" s="182">
        <v>6500</v>
      </c>
      <c r="L72" s="183"/>
      <c r="M72" s="183"/>
      <c r="N72" s="184"/>
      <c r="O72" s="242">
        <v>0</v>
      </c>
      <c r="P72" s="243"/>
      <c r="Q72" s="243"/>
      <c r="R72" s="244"/>
      <c r="S72" s="242">
        <v>0</v>
      </c>
      <c r="T72" s="243"/>
      <c r="U72" s="243"/>
      <c r="V72" s="244"/>
      <c r="W72" s="170">
        <f>SUM(G72:V72)</f>
        <v>13000</v>
      </c>
      <c r="X72" s="171"/>
      <c r="Y72" s="171"/>
      <c r="Z72" s="172"/>
      <c r="AA72" s="236" t="s">
        <v>53</v>
      </c>
      <c r="AB72" s="94"/>
      <c r="AC72" s="94"/>
      <c r="AD72" s="94"/>
      <c r="AE72" s="94"/>
      <c r="AF72" s="94"/>
      <c r="AG72" s="269">
        <v>0</v>
      </c>
      <c r="AH72" s="270"/>
      <c r="AI72" s="271"/>
    </row>
    <row r="73" spans="1:35" ht="12.75">
      <c r="A73" s="141"/>
      <c r="B73" s="125" t="s">
        <v>24</v>
      </c>
      <c r="C73" s="126"/>
      <c r="D73" s="126"/>
      <c r="E73" s="126"/>
      <c r="F73" s="161"/>
      <c r="G73" s="239">
        <v>6500</v>
      </c>
      <c r="H73" s="240"/>
      <c r="I73" s="240"/>
      <c r="J73" s="241"/>
      <c r="K73" s="166">
        <v>6500</v>
      </c>
      <c r="L73" s="167"/>
      <c r="M73" s="167"/>
      <c r="N73" s="168"/>
      <c r="O73" s="239">
        <v>0</v>
      </c>
      <c r="P73" s="240"/>
      <c r="Q73" s="240"/>
      <c r="R73" s="241"/>
      <c r="S73" s="239">
        <v>0</v>
      </c>
      <c r="T73" s="240"/>
      <c r="U73" s="240"/>
      <c r="V73" s="241"/>
      <c r="W73" s="153">
        <f aca="true" t="shared" si="5" ref="W73:W84">G73+K73+O73+S73</f>
        <v>13000</v>
      </c>
      <c r="X73" s="154"/>
      <c r="Y73" s="154"/>
      <c r="Z73" s="155"/>
      <c r="AA73" s="205" t="s">
        <v>54</v>
      </c>
      <c r="AB73" s="126"/>
      <c r="AC73" s="126"/>
      <c r="AD73" s="126"/>
      <c r="AE73" s="126"/>
      <c r="AF73" s="126"/>
      <c r="AG73" s="278">
        <v>0</v>
      </c>
      <c r="AH73" s="278"/>
      <c r="AI73" s="279"/>
    </row>
    <row r="74" spans="1:35" ht="12.75">
      <c r="A74" s="141"/>
      <c r="B74" s="125" t="s">
        <v>29</v>
      </c>
      <c r="C74" s="126"/>
      <c r="D74" s="126"/>
      <c r="E74" s="126"/>
      <c r="F74" s="161"/>
      <c r="G74" s="156">
        <f>G73*$Q$2/100</f>
        <v>19.5</v>
      </c>
      <c r="H74" s="157"/>
      <c r="I74" s="157"/>
      <c r="J74" s="158"/>
      <c r="K74" s="156">
        <f>K73*$Q$2/100</f>
        <v>19.5</v>
      </c>
      <c r="L74" s="157"/>
      <c r="M74" s="157"/>
      <c r="N74" s="158"/>
      <c r="O74" s="156">
        <f>O73*$Q$2/100</f>
        <v>0</v>
      </c>
      <c r="P74" s="157"/>
      <c r="Q74" s="157"/>
      <c r="R74" s="158"/>
      <c r="S74" s="156">
        <f>S73*$Q$2/100</f>
        <v>0</v>
      </c>
      <c r="T74" s="157"/>
      <c r="U74" s="157"/>
      <c r="V74" s="158"/>
      <c r="W74" s="153">
        <f t="shared" si="5"/>
        <v>39</v>
      </c>
      <c r="X74" s="154"/>
      <c r="Y74" s="154"/>
      <c r="Z74" s="155"/>
      <c r="AA74" s="205" t="s">
        <v>55</v>
      </c>
      <c r="AB74" s="126"/>
      <c r="AC74" s="126"/>
      <c r="AD74" s="126"/>
      <c r="AE74" s="126"/>
      <c r="AF74" s="126"/>
      <c r="AG74" s="134">
        <f>AG73</f>
        <v>0</v>
      </c>
      <c r="AH74" s="134"/>
      <c r="AI74" s="135"/>
    </row>
    <row r="75" spans="1:35" ht="12.75">
      <c r="A75" s="141"/>
      <c r="B75" s="125" t="s">
        <v>10</v>
      </c>
      <c r="C75" s="126"/>
      <c r="D75" s="126"/>
      <c r="E75" s="126"/>
      <c r="F75" s="161"/>
      <c r="G75" s="169">
        <v>20</v>
      </c>
      <c r="H75" s="167"/>
      <c r="I75" s="167"/>
      <c r="J75" s="168"/>
      <c r="K75" s="166">
        <v>20</v>
      </c>
      <c r="L75" s="167"/>
      <c r="M75" s="167"/>
      <c r="N75" s="168"/>
      <c r="O75" s="239">
        <v>0</v>
      </c>
      <c r="P75" s="240"/>
      <c r="Q75" s="240"/>
      <c r="R75" s="241"/>
      <c r="S75" s="239">
        <v>0</v>
      </c>
      <c r="T75" s="240"/>
      <c r="U75" s="240"/>
      <c r="V75" s="241"/>
      <c r="W75" s="153">
        <f t="shared" si="5"/>
        <v>40</v>
      </c>
      <c r="X75" s="154"/>
      <c r="Y75" s="154"/>
      <c r="Z75" s="155"/>
      <c r="AA75" s="205" t="s">
        <v>56</v>
      </c>
      <c r="AB75" s="126"/>
      <c r="AC75" s="126"/>
      <c r="AD75" s="126"/>
      <c r="AE75" s="126"/>
      <c r="AF75" s="126"/>
      <c r="AG75" s="134">
        <f>W82+AG74</f>
        <v>24.5</v>
      </c>
      <c r="AH75" s="134"/>
      <c r="AI75" s="135"/>
    </row>
    <row r="76" spans="1:35" ht="13.5" thickBot="1">
      <c r="A76" s="141"/>
      <c r="B76" s="125" t="s">
        <v>58</v>
      </c>
      <c r="C76" s="126"/>
      <c r="D76" s="126"/>
      <c r="E76" s="126"/>
      <c r="F76" s="161"/>
      <c r="G76" s="156">
        <f>IF(G74&lt;G75,G75,G74)</f>
        <v>20</v>
      </c>
      <c r="H76" s="157"/>
      <c r="I76" s="157"/>
      <c r="J76" s="158"/>
      <c r="K76" s="160">
        <f>IF(K74&lt;K75,K75,K74)</f>
        <v>20</v>
      </c>
      <c r="L76" s="157"/>
      <c r="M76" s="157"/>
      <c r="N76" s="158"/>
      <c r="O76" s="246">
        <f>IF(O74&lt;O75,O75,O74)</f>
        <v>0</v>
      </c>
      <c r="P76" s="247"/>
      <c r="Q76" s="247"/>
      <c r="R76" s="248"/>
      <c r="S76" s="246">
        <f>IF(S74&lt;S75,S75,S74)</f>
        <v>0</v>
      </c>
      <c r="T76" s="247"/>
      <c r="U76" s="247"/>
      <c r="V76" s="248"/>
      <c r="W76" s="153">
        <f t="shared" si="5"/>
        <v>40</v>
      </c>
      <c r="X76" s="154"/>
      <c r="Y76" s="154"/>
      <c r="Z76" s="155"/>
      <c r="AA76" s="232" t="s">
        <v>57</v>
      </c>
      <c r="AB76" s="90"/>
      <c r="AC76" s="90"/>
      <c r="AD76" s="90"/>
      <c r="AE76" s="90"/>
      <c r="AF76" s="90"/>
      <c r="AG76" s="91">
        <f>-AG74+AG75-W83</f>
        <v>14.7</v>
      </c>
      <c r="AH76" s="91"/>
      <c r="AI76" s="85"/>
    </row>
    <row r="77" spans="1:35" ht="13.5" thickBot="1">
      <c r="A77" s="141"/>
      <c r="B77" s="125" t="s">
        <v>41</v>
      </c>
      <c r="C77" s="126"/>
      <c r="D77" s="126"/>
      <c r="E77" s="126"/>
      <c r="F77" s="161"/>
      <c r="G77" s="156">
        <v>16.5</v>
      </c>
      <c r="H77" s="157"/>
      <c r="I77" s="157"/>
      <c r="J77" s="158"/>
      <c r="K77" s="156">
        <v>16.5</v>
      </c>
      <c r="L77" s="157"/>
      <c r="M77" s="157"/>
      <c r="N77" s="158"/>
      <c r="O77" s="246">
        <v>0</v>
      </c>
      <c r="P77" s="247"/>
      <c r="Q77" s="247"/>
      <c r="R77" s="248"/>
      <c r="S77" s="246">
        <v>0</v>
      </c>
      <c r="T77" s="247"/>
      <c r="U77" s="247"/>
      <c r="V77" s="248"/>
      <c r="W77" s="153">
        <f t="shared" si="5"/>
        <v>33</v>
      </c>
      <c r="X77" s="154"/>
      <c r="Y77" s="154"/>
      <c r="Z77" s="155"/>
      <c r="AA77" s="230" t="s">
        <v>59</v>
      </c>
      <c r="AB77" s="231"/>
      <c r="AC77" s="231"/>
      <c r="AD77" s="231"/>
      <c r="AE77" s="231"/>
      <c r="AF77" s="231"/>
      <c r="AG77" s="266">
        <f>AG73+AG76</f>
        <v>14.7</v>
      </c>
      <c r="AH77" s="267"/>
      <c r="AI77" s="268"/>
    </row>
    <row r="78" spans="1:35" ht="12.75">
      <c r="A78" s="141"/>
      <c r="B78" s="125" t="s">
        <v>42</v>
      </c>
      <c r="C78" s="126"/>
      <c r="D78" s="126"/>
      <c r="E78" s="126"/>
      <c r="F78" s="161"/>
      <c r="G78" s="169">
        <v>16.5</v>
      </c>
      <c r="H78" s="167"/>
      <c r="I78" s="167"/>
      <c r="J78" s="168"/>
      <c r="K78" s="169">
        <v>16.5</v>
      </c>
      <c r="L78" s="167"/>
      <c r="M78" s="167"/>
      <c r="N78" s="168"/>
      <c r="O78" s="239">
        <v>0</v>
      </c>
      <c r="P78" s="240"/>
      <c r="Q78" s="240"/>
      <c r="R78" s="241"/>
      <c r="S78" s="239">
        <v>0</v>
      </c>
      <c r="T78" s="240"/>
      <c r="U78" s="240"/>
      <c r="V78" s="241"/>
      <c r="W78" s="153">
        <f t="shared" si="5"/>
        <v>33</v>
      </c>
      <c r="X78" s="154"/>
      <c r="Y78" s="154"/>
      <c r="Z78" s="155"/>
      <c r="AA78" s="136">
        <f>(W77+W76)/W73*100-$L$2</f>
        <v>-0.18846153846153846</v>
      </c>
      <c r="AB78" s="136"/>
      <c r="AC78" s="136"/>
      <c r="AD78" s="136"/>
      <c r="AE78" s="136"/>
      <c r="AF78" s="136"/>
      <c r="AG78" s="136"/>
      <c r="AH78" s="136"/>
      <c r="AI78" s="136"/>
    </row>
    <row r="79" spans="1:35" ht="12.75">
      <c r="A79" s="141"/>
      <c r="B79" s="125" t="s">
        <v>43</v>
      </c>
      <c r="C79" s="126"/>
      <c r="D79" s="126"/>
      <c r="E79" s="126"/>
      <c r="F79" s="161"/>
      <c r="G79" s="165">
        <f>G77-G78</f>
        <v>0</v>
      </c>
      <c r="H79" s="163"/>
      <c r="I79" s="163"/>
      <c r="J79" s="164"/>
      <c r="K79" s="162">
        <f>K77-K78</f>
        <v>0</v>
      </c>
      <c r="L79" s="163"/>
      <c r="M79" s="163"/>
      <c r="N79" s="164"/>
      <c r="O79" s="275">
        <f>O77-O78</f>
        <v>0</v>
      </c>
      <c r="P79" s="276"/>
      <c r="Q79" s="276"/>
      <c r="R79" s="277"/>
      <c r="S79" s="275">
        <v>0</v>
      </c>
      <c r="T79" s="276"/>
      <c r="U79" s="276"/>
      <c r="V79" s="277"/>
      <c r="W79" s="153">
        <f t="shared" si="5"/>
        <v>0</v>
      </c>
      <c r="X79" s="154"/>
      <c r="Y79" s="154"/>
      <c r="Z79" s="155"/>
      <c r="AA79" s="132">
        <f>AG72*W72/100</f>
        <v>0</v>
      </c>
      <c r="AB79" s="233"/>
      <c r="AC79" s="233"/>
      <c r="AD79" s="233"/>
      <c r="AE79" s="233"/>
      <c r="AF79" s="233"/>
      <c r="AG79" s="233"/>
      <c r="AH79" s="233"/>
      <c r="AI79" s="233"/>
    </row>
    <row r="80" spans="1:26" ht="12.75">
      <c r="A80" s="141"/>
      <c r="B80" s="125" t="s">
        <v>30</v>
      </c>
      <c r="C80" s="126"/>
      <c r="D80" s="126"/>
      <c r="E80" s="126"/>
      <c r="F80" s="161"/>
      <c r="G80" s="156">
        <f>G73/100*$L$2</f>
        <v>48.75</v>
      </c>
      <c r="H80" s="157"/>
      <c r="I80" s="157"/>
      <c r="J80" s="158"/>
      <c r="K80" s="160">
        <f>K73/100*$L$2</f>
        <v>48.75</v>
      </c>
      <c r="L80" s="157"/>
      <c r="M80" s="157"/>
      <c r="N80" s="158"/>
      <c r="O80" s="246">
        <f>O73/100*$L$2</f>
        <v>0</v>
      </c>
      <c r="P80" s="247"/>
      <c r="Q80" s="247"/>
      <c r="R80" s="248"/>
      <c r="S80" s="246">
        <f>S73/100*$L$2</f>
        <v>0</v>
      </c>
      <c r="T80" s="247"/>
      <c r="U80" s="247"/>
      <c r="V80" s="248"/>
      <c r="W80" s="153">
        <f t="shared" si="5"/>
        <v>97.5</v>
      </c>
      <c r="X80" s="154"/>
      <c r="Y80" s="154"/>
      <c r="Z80" s="155"/>
    </row>
    <row r="81" spans="1:26" ht="12.75">
      <c r="A81" s="141"/>
      <c r="B81" s="125" t="s">
        <v>44</v>
      </c>
      <c r="C81" s="126"/>
      <c r="D81" s="126"/>
      <c r="E81" s="126"/>
      <c r="F81" s="161"/>
      <c r="G81" s="156">
        <f>G80-G77-G76</f>
        <v>12.25</v>
      </c>
      <c r="H81" s="157"/>
      <c r="I81" s="157"/>
      <c r="J81" s="158"/>
      <c r="K81" s="160">
        <f>K80-K77-K76</f>
        <v>12.25</v>
      </c>
      <c r="L81" s="157"/>
      <c r="M81" s="157"/>
      <c r="N81" s="158"/>
      <c r="O81" s="246">
        <f>O80-O77-O76</f>
        <v>0</v>
      </c>
      <c r="P81" s="247"/>
      <c r="Q81" s="247"/>
      <c r="R81" s="248"/>
      <c r="S81" s="246">
        <f>S80-S77-S76</f>
        <v>0</v>
      </c>
      <c r="T81" s="247"/>
      <c r="U81" s="247"/>
      <c r="V81" s="248"/>
      <c r="W81" s="153">
        <f t="shared" si="5"/>
        <v>24.5</v>
      </c>
      <c r="X81" s="154"/>
      <c r="Y81" s="154"/>
      <c r="Z81" s="155"/>
    </row>
    <row r="82" spans="1:26" ht="12.75">
      <c r="A82" s="141"/>
      <c r="B82" s="125" t="s">
        <v>45</v>
      </c>
      <c r="C82" s="126"/>
      <c r="D82" s="126"/>
      <c r="E82" s="126"/>
      <c r="F82" s="161"/>
      <c r="G82" s="156">
        <f>G81+G79</f>
        <v>12.25</v>
      </c>
      <c r="H82" s="157"/>
      <c r="I82" s="157"/>
      <c r="J82" s="158"/>
      <c r="K82" s="160">
        <f>K81+K79</f>
        <v>12.25</v>
      </c>
      <c r="L82" s="157"/>
      <c r="M82" s="157"/>
      <c r="N82" s="158"/>
      <c r="O82" s="246">
        <f>O81+O79</f>
        <v>0</v>
      </c>
      <c r="P82" s="247"/>
      <c r="Q82" s="247"/>
      <c r="R82" s="248"/>
      <c r="S82" s="246">
        <f>S81+S79</f>
        <v>0</v>
      </c>
      <c r="T82" s="247"/>
      <c r="U82" s="247"/>
      <c r="V82" s="248"/>
      <c r="W82" s="153">
        <f t="shared" si="5"/>
        <v>24.5</v>
      </c>
      <c r="X82" s="154"/>
      <c r="Y82" s="154"/>
      <c r="Z82" s="155"/>
    </row>
    <row r="83" spans="1:26" ht="12.75">
      <c r="A83" s="141"/>
      <c r="B83" s="194" t="s">
        <v>26</v>
      </c>
      <c r="C83" s="98"/>
      <c r="D83" s="98"/>
      <c r="E83" s="98"/>
      <c r="F83" s="195"/>
      <c r="G83" s="196">
        <f>$AG75/100*$AL$3</f>
        <v>4.9</v>
      </c>
      <c r="H83" s="197"/>
      <c r="I83" s="197"/>
      <c r="J83" s="198"/>
      <c r="K83" s="196">
        <f>$AG75/100*$AL$4</f>
        <v>4.9</v>
      </c>
      <c r="L83" s="197"/>
      <c r="M83" s="197"/>
      <c r="N83" s="198"/>
      <c r="O83" s="137">
        <v>0</v>
      </c>
      <c r="P83" s="138"/>
      <c r="Q83" s="138"/>
      <c r="R83" s="139"/>
      <c r="S83" s="137">
        <v>0</v>
      </c>
      <c r="T83" s="138"/>
      <c r="U83" s="138"/>
      <c r="V83" s="139"/>
      <c r="W83" s="153">
        <f t="shared" si="5"/>
        <v>9.8</v>
      </c>
      <c r="X83" s="154"/>
      <c r="Y83" s="154"/>
      <c r="Z83" s="155"/>
    </row>
    <row r="84" spans="1:26" ht="13.5" thickBot="1">
      <c r="A84" s="141"/>
      <c r="B84" s="191" t="s">
        <v>28</v>
      </c>
      <c r="C84" s="192"/>
      <c r="D84" s="192"/>
      <c r="E84" s="192"/>
      <c r="F84" s="193"/>
      <c r="G84" s="149">
        <f>IF(G83&lt;0,G76,G76+G83)</f>
        <v>24.9</v>
      </c>
      <c r="H84" s="147"/>
      <c r="I84" s="147"/>
      <c r="J84" s="148"/>
      <c r="K84" s="146">
        <f>IF(K83&lt;0,K76,K76+K83)</f>
        <v>24.9</v>
      </c>
      <c r="L84" s="147"/>
      <c r="M84" s="147"/>
      <c r="N84" s="148"/>
      <c r="O84" s="255">
        <f>IF(O83&lt;0,O76,O76+O83)</f>
        <v>0</v>
      </c>
      <c r="P84" s="256"/>
      <c r="Q84" s="256"/>
      <c r="R84" s="257"/>
      <c r="S84" s="255">
        <f>IF(S83&lt;0,S76,S76+S83)</f>
        <v>0</v>
      </c>
      <c r="T84" s="256"/>
      <c r="U84" s="256"/>
      <c r="V84" s="257"/>
      <c r="W84" s="150">
        <f t="shared" si="5"/>
        <v>49.8</v>
      </c>
      <c r="X84" s="151"/>
      <c r="Y84" s="151"/>
      <c r="Z84" s="152"/>
    </row>
    <row r="85" spans="1:35" ht="12.75" customHeight="1">
      <c r="A85" s="140" t="s">
        <v>67</v>
      </c>
      <c r="B85" s="93" t="s">
        <v>23</v>
      </c>
      <c r="C85" s="94"/>
      <c r="D85" s="94"/>
      <c r="E85" s="94"/>
      <c r="F85" s="199"/>
      <c r="G85" s="185">
        <v>6530</v>
      </c>
      <c r="H85" s="183"/>
      <c r="I85" s="183"/>
      <c r="J85" s="184"/>
      <c r="K85" s="182">
        <v>6530</v>
      </c>
      <c r="L85" s="183"/>
      <c r="M85" s="183"/>
      <c r="N85" s="184"/>
      <c r="O85" s="242">
        <v>0</v>
      </c>
      <c r="P85" s="243"/>
      <c r="Q85" s="243"/>
      <c r="R85" s="244"/>
      <c r="S85" s="242">
        <v>0</v>
      </c>
      <c r="T85" s="243"/>
      <c r="U85" s="243"/>
      <c r="V85" s="244"/>
      <c r="W85" s="170">
        <f>SUM(G85:V85)</f>
        <v>13060</v>
      </c>
      <c r="X85" s="171"/>
      <c r="Y85" s="171"/>
      <c r="Z85" s="172"/>
      <c r="AA85" s="236" t="s">
        <v>53</v>
      </c>
      <c r="AB85" s="94"/>
      <c r="AC85" s="94"/>
      <c r="AD85" s="94"/>
      <c r="AE85" s="94"/>
      <c r="AF85" s="94"/>
      <c r="AG85" s="269">
        <v>0</v>
      </c>
      <c r="AH85" s="270"/>
      <c r="AI85" s="271"/>
    </row>
    <row r="86" spans="1:35" ht="12.75">
      <c r="A86" s="141"/>
      <c r="B86" s="125" t="s">
        <v>24</v>
      </c>
      <c r="C86" s="126"/>
      <c r="D86" s="126"/>
      <c r="E86" s="126"/>
      <c r="F86" s="161"/>
      <c r="G86" s="239">
        <v>6530</v>
      </c>
      <c r="H86" s="240"/>
      <c r="I86" s="240"/>
      <c r="J86" s="241"/>
      <c r="K86" s="166">
        <v>6530</v>
      </c>
      <c r="L86" s="167"/>
      <c r="M86" s="167"/>
      <c r="N86" s="168"/>
      <c r="O86" s="239">
        <v>0</v>
      </c>
      <c r="P86" s="240"/>
      <c r="Q86" s="240"/>
      <c r="R86" s="241"/>
      <c r="S86" s="239">
        <v>0</v>
      </c>
      <c r="T86" s="240"/>
      <c r="U86" s="240"/>
      <c r="V86" s="241"/>
      <c r="W86" s="153">
        <f aca="true" t="shared" si="6" ref="W86:W97">G86+K86+O86+S86</f>
        <v>13060</v>
      </c>
      <c r="X86" s="154"/>
      <c r="Y86" s="154"/>
      <c r="Z86" s="155"/>
      <c r="AA86" s="205" t="s">
        <v>54</v>
      </c>
      <c r="AB86" s="126"/>
      <c r="AC86" s="126"/>
      <c r="AD86" s="126"/>
      <c r="AE86" s="126"/>
      <c r="AF86" s="126"/>
      <c r="AG86" s="278">
        <v>0</v>
      </c>
      <c r="AH86" s="278"/>
      <c r="AI86" s="279"/>
    </row>
    <row r="87" spans="1:35" ht="12.75">
      <c r="A87" s="141"/>
      <c r="B87" s="125" t="s">
        <v>29</v>
      </c>
      <c r="C87" s="126"/>
      <c r="D87" s="126"/>
      <c r="E87" s="126"/>
      <c r="F87" s="161"/>
      <c r="G87" s="156">
        <f>G86*$Q$2/100</f>
        <v>19.59</v>
      </c>
      <c r="H87" s="157"/>
      <c r="I87" s="157"/>
      <c r="J87" s="158"/>
      <c r="K87" s="156">
        <f>K86*$Q$2/100</f>
        <v>19.59</v>
      </c>
      <c r="L87" s="157"/>
      <c r="M87" s="157"/>
      <c r="N87" s="158"/>
      <c r="O87" s="156">
        <f>O86*$Q$2/100</f>
        <v>0</v>
      </c>
      <c r="P87" s="157"/>
      <c r="Q87" s="157"/>
      <c r="R87" s="158"/>
      <c r="S87" s="156">
        <f>S86*$Q$2/100</f>
        <v>0</v>
      </c>
      <c r="T87" s="157"/>
      <c r="U87" s="157"/>
      <c r="V87" s="158"/>
      <c r="W87" s="153">
        <f t="shared" si="6"/>
        <v>39.18</v>
      </c>
      <c r="X87" s="154"/>
      <c r="Y87" s="154"/>
      <c r="Z87" s="155"/>
      <c r="AA87" s="205" t="s">
        <v>55</v>
      </c>
      <c r="AB87" s="126"/>
      <c r="AC87" s="126"/>
      <c r="AD87" s="126"/>
      <c r="AE87" s="126"/>
      <c r="AF87" s="126"/>
      <c r="AG87" s="134">
        <f>AG86</f>
        <v>0</v>
      </c>
      <c r="AH87" s="134"/>
      <c r="AI87" s="135"/>
    </row>
    <row r="88" spans="1:35" ht="12.75">
      <c r="A88" s="141"/>
      <c r="B88" s="125" t="s">
        <v>10</v>
      </c>
      <c r="C88" s="126"/>
      <c r="D88" s="126"/>
      <c r="E88" s="126"/>
      <c r="F88" s="161"/>
      <c r="G88" s="169">
        <v>20</v>
      </c>
      <c r="H88" s="167"/>
      <c r="I88" s="167"/>
      <c r="J88" s="168"/>
      <c r="K88" s="166">
        <v>20</v>
      </c>
      <c r="L88" s="167"/>
      <c r="M88" s="167"/>
      <c r="N88" s="168"/>
      <c r="O88" s="239">
        <v>0</v>
      </c>
      <c r="P88" s="240"/>
      <c r="Q88" s="240"/>
      <c r="R88" s="241"/>
      <c r="S88" s="239">
        <v>0</v>
      </c>
      <c r="T88" s="240"/>
      <c r="U88" s="240"/>
      <c r="V88" s="241"/>
      <c r="W88" s="153">
        <f t="shared" si="6"/>
        <v>40</v>
      </c>
      <c r="X88" s="154"/>
      <c r="Y88" s="154"/>
      <c r="Z88" s="155"/>
      <c r="AA88" s="205" t="s">
        <v>56</v>
      </c>
      <c r="AB88" s="126"/>
      <c r="AC88" s="126"/>
      <c r="AD88" s="126"/>
      <c r="AE88" s="126"/>
      <c r="AF88" s="126"/>
      <c r="AG88" s="134">
        <f>W95+AG87</f>
        <v>24.94999999999999</v>
      </c>
      <c r="AH88" s="134"/>
      <c r="AI88" s="135"/>
    </row>
    <row r="89" spans="1:35" ht="13.5" thickBot="1">
      <c r="A89" s="141"/>
      <c r="B89" s="125" t="s">
        <v>58</v>
      </c>
      <c r="C89" s="126"/>
      <c r="D89" s="126"/>
      <c r="E89" s="126"/>
      <c r="F89" s="161"/>
      <c r="G89" s="156">
        <f>IF(G87&lt;G88,G88,G87)</f>
        <v>20</v>
      </c>
      <c r="H89" s="157"/>
      <c r="I89" s="157"/>
      <c r="J89" s="158"/>
      <c r="K89" s="160">
        <f>IF(K87&lt;K88,K88,K87)</f>
        <v>20</v>
      </c>
      <c r="L89" s="157"/>
      <c r="M89" s="157"/>
      <c r="N89" s="158"/>
      <c r="O89" s="246">
        <f>IF(O87&lt;O88,O88,O87)</f>
        <v>0</v>
      </c>
      <c r="P89" s="247"/>
      <c r="Q89" s="247"/>
      <c r="R89" s="248"/>
      <c r="S89" s="246">
        <f>IF(S87&lt;S88,S88,S87)</f>
        <v>0</v>
      </c>
      <c r="T89" s="247"/>
      <c r="U89" s="247"/>
      <c r="V89" s="248"/>
      <c r="W89" s="153">
        <f t="shared" si="6"/>
        <v>40</v>
      </c>
      <c r="X89" s="154"/>
      <c r="Y89" s="154"/>
      <c r="Z89" s="155"/>
      <c r="AA89" s="232" t="s">
        <v>57</v>
      </c>
      <c r="AB89" s="90"/>
      <c r="AC89" s="90"/>
      <c r="AD89" s="90"/>
      <c r="AE89" s="90"/>
      <c r="AF89" s="90"/>
      <c r="AG89" s="91">
        <f>-AG87+AG88-W96</f>
        <v>14.969999999999994</v>
      </c>
      <c r="AH89" s="91"/>
      <c r="AI89" s="85"/>
    </row>
    <row r="90" spans="1:35" ht="13.5" thickBot="1">
      <c r="A90" s="141"/>
      <c r="B90" s="125" t="s">
        <v>41</v>
      </c>
      <c r="C90" s="126"/>
      <c r="D90" s="126"/>
      <c r="E90" s="126"/>
      <c r="F90" s="161"/>
      <c r="G90" s="156">
        <v>16.5</v>
      </c>
      <c r="H90" s="157"/>
      <c r="I90" s="157"/>
      <c r="J90" s="158"/>
      <c r="K90" s="156">
        <v>16.5</v>
      </c>
      <c r="L90" s="157"/>
      <c r="M90" s="157"/>
      <c r="N90" s="158"/>
      <c r="O90" s="246">
        <v>0</v>
      </c>
      <c r="P90" s="247"/>
      <c r="Q90" s="247"/>
      <c r="R90" s="248"/>
      <c r="S90" s="246">
        <v>0</v>
      </c>
      <c r="T90" s="247"/>
      <c r="U90" s="247"/>
      <c r="V90" s="248"/>
      <c r="W90" s="153">
        <f t="shared" si="6"/>
        <v>33</v>
      </c>
      <c r="X90" s="154"/>
      <c r="Y90" s="154"/>
      <c r="Z90" s="155"/>
      <c r="AA90" s="230" t="s">
        <v>59</v>
      </c>
      <c r="AB90" s="231"/>
      <c r="AC90" s="231"/>
      <c r="AD90" s="231"/>
      <c r="AE90" s="231"/>
      <c r="AF90" s="231"/>
      <c r="AG90" s="266">
        <f>AG86+AG89</f>
        <v>14.969999999999994</v>
      </c>
      <c r="AH90" s="267"/>
      <c r="AI90" s="268"/>
    </row>
    <row r="91" spans="1:35" ht="12.75">
      <c r="A91" s="141"/>
      <c r="B91" s="125" t="s">
        <v>42</v>
      </c>
      <c r="C91" s="126"/>
      <c r="D91" s="126"/>
      <c r="E91" s="126"/>
      <c r="F91" s="161"/>
      <c r="G91" s="169">
        <v>16.5</v>
      </c>
      <c r="H91" s="167"/>
      <c r="I91" s="167"/>
      <c r="J91" s="168"/>
      <c r="K91" s="169">
        <v>16.5</v>
      </c>
      <c r="L91" s="167"/>
      <c r="M91" s="167"/>
      <c r="N91" s="168"/>
      <c r="O91" s="239">
        <v>0</v>
      </c>
      <c r="P91" s="240"/>
      <c r="Q91" s="240"/>
      <c r="R91" s="241"/>
      <c r="S91" s="239">
        <v>0</v>
      </c>
      <c r="T91" s="240"/>
      <c r="U91" s="240"/>
      <c r="V91" s="241"/>
      <c r="W91" s="153">
        <f t="shared" si="6"/>
        <v>33</v>
      </c>
      <c r="X91" s="154"/>
      <c r="Y91" s="154"/>
      <c r="Z91" s="155"/>
      <c r="AA91" s="136">
        <f>(W90+W89)/W86*100-$L$2</f>
        <v>-0.19104134762633995</v>
      </c>
      <c r="AB91" s="136"/>
      <c r="AC91" s="136"/>
      <c r="AD91" s="136"/>
      <c r="AE91" s="136"/>
      <c r="AF91" s="136"/>
      <c r="AG91" s="136"/>
      <c r="AH91" s="136"/>
      <c r="AI91" s="136"/>
    </row>
    <row r="92" spans="1:35" ht="12.75">
      <c r="A92" s="141"/>
      <c r="B92" s="125" t="s">
        <v>43</v>
      </c>
      <c r="C92" s="126"/>
      <c r="D92" s="126"/>
      <c r="E92" s="126"/>
      <c r="F92" s="161"/>
      <c r="G92" s="165">
        <f>G90-G91</f>
        <v>0</v>
      </c>
      <c r="H92" s="163"/>
      <c r="I92" s="163"/>
      <c r="J92" s="164"/>
      <c r="K92" s="162">
        <f>K90-K91</f>
        <v>0</v>
      </c>
      <c r="L92" s="163"/>
      <c r="M92" s="163"/>
      <c r="N92" s="164"/>
      <c r="O92" s="275">
        <f>O90-O91</f>
        <v>0</v>
      </c>
      <c r="P92" s="276"/>
      <c r="Q92" s="276"/>
      <c r="R92" s="277"/>
      <c r="S92" s="275">
        <v>0</v>
      </c>
      <c r="T92" s="276"/>
      <c r="U92" s="276"/>
      <c r="V92" s="277"/>
      <c r="W92" s="153">
        <f t="shared" si="6"/>
        <v>0</v>
      </c>
      <c r="X92" s="154"/>
      <c r="Y92" s="154"/>
      <c r="Z92" s="155"/>
      <c r="AA92" s="132">
        <f>AG85*W85/100</f>
        <v>0</v>
      </c>
      <c r="AB92" s="233"/>
      <c r="AC92" s="233"/>
      <c r="AD92" s="233"/>
      <c r="AE92" s="233"/>
      <c r="AF92" s="233"/>
      <c r="AG92" s="233"/>
      <c r="AH92" s="233"/>
      <c r="AI92" s="233"/>
    </row>
    <row r="93" spans="1:26" ht="12.75">
      <c r="A93" s="141"/>
      <c r="B93" s="125" t="s">
        <v>30</v>
      </c>
      <c r="C93" s="126"/>
      <c r="D93" s="126"/>
      <c r="E93" s="126"/>
      <c r="F93" s="161"/>
      <c r="G93" s="156">
        <f>G86/100*$L$2</f>
        <v>48.974999999999994</v>
      </c>
      <c r="H93" s="157"/>
      <c r="I93" s="157"/>
      <c r="J93" s="158"/>
      <c r="K93" s="160">
        <f>K86/100*$L$2</f>
        <v>48.974999999999994</v>
      </c>
      <c r="L93" s="157"/>
      <c r="M93" s="157"/>
      <c r="N93" s="158"/>
      <c r="O93" s="246">
        <f>O86/100*$L$2</f>
        <v>0</v>
      </c>
      <c r="P93" s="247"/>
      <c r="Q93" s="247"/>
      <c r="R93" s="248"/>
      <c r="S93" s="246">
        <f>S86/100*$L$2</f>
        <v>0</v>
      </c>
      <c r="T93" s="247"/>
      <c r="U93" s="247"/>
      <c r="V93" s="248"/>
      <c r="W93" s="153">
        <f t="shared" si="6"/>
        <v>97.94999999999999</v>
      </c>
      <c r="X93" s="154"/>
      <c r="Y93" s="154"/>
      <c r="Z93" s="155"/>
    </row>
    <row r="94" spans="1:26" ht="12.75">
      <c r="A94" s="141"/>
      <c r="B94" s="125" t="s">
        <v>44</v>
      </c>
      <c r="C94" s="126"/>
      <c r="D94" s="126"/>
      <c r="E94" s="126"/>
      <c r="F94" s="161"/>
      <c r="G94" s="156">
        <f>G93-G90-G89</f>
        <v>12.474999999999994</v>
      </c>
      <c r="H94" s="157"/>
      <c r="I94" s="157"/>
      <c r="J94" s="158"/>
      <c r="K94" s="160">
        <f>K93-K90-K89</f>
        <v>12.474999999999994</v>
      </c>
      <c r="L94" s="157"/>
      <c r="M94" s="157"/>
      <c r="N94" s="158"/>
      <c r="O94" s="246">
        <f>O93-O90-O89</f>
        <v>0</v>
      </c>
      <c r="P94" s="247"/>
      <c r="Q94" s="247"/>
      <c r="R94" s="248"/>
      <c r="S94" s="246">
        <f>S93-S90-S89</f>
        <v>0</v>
      </c>
      <c r="T94" s="247"/>
      <c r="U94" s="247"/>
      <c r="V94" s="248"/>
      <c r="W94" s="153">
        <f t="shared" si="6"/>
        <v>24.94999999999999</v>
      </c>
      <c r="X94" s="154"/>
      <c r="Y94" s="154"/>
      <c r="Z94" s="155"/>
    </row>
    <row r="95" spans="1:26" ht="12.75">
      <c r="A95" s="141"/>
      <c r="B95" s="125" t="s">
        <v>45</v>
      </c>
      <c r="C95" s="126"/>
      <c r="D95" s="126"/>
      <c r="E95" s="126"/>
      <c r="F95" s="161"/>
      <c r="G95" s="156">
        <f>G94+G92</f>
        <v>12.474999999999994</v>
      </c>
      <c r="H95" s="157"/>
      <c r="I95" s="157"/>
      <c r="J95" s="158"/>
      <c r="K95" s="160">
        <f>K94+K92</f>
        <v>12.474999999999994</v>
      </c>
      <c r="L95" s="157"/>
      <c r="M95" s="157"/>
      <c r="N95" s="158"/>
      <c r="O95" s="246">
        <f>O94+O92</f>
        <v>0</v>
      </c>
      <c r="P95" s="247"/>
      <c r="Q95" s="247"/>
      <c r="R95" s="248"/>
      <c r="S95" s="246">
        <f>S94+S92</f>
        <v>0</v>
      </c>
      <c r="T95" s="247"/>
      <c r="U95" s="247"/>
      <c r="V95" s="248"/>
      <c r="W95" s="153">
        <f t="shared" si="6"/>
        <v>24.94999999999999</v>
      </c>
      <c r="X95" s="154"/>
      <c r="Y95" s="154"/>
      <c r="Z95" s="155"/>
    </row>
    <row r="96" spans="1:26" ht="12.75">
      <c r="A96" s="141"/>
      <c r="B96" s="194" t="s">
        <v>26</v>
      </c>
      <c r="C96" s="98"/>
      <c r="D96" s="98"/>
      <c r="E96" s="98"/>
      <c r="F96" s="195"/>
      <c r="G96" s="196">
        <f>$AG88/100*$AL$3</f>
        <v>4.9899999999999975</v>
      </c>
      <c r="H96" s="197"/>
      <c r="I96" s="197"/>
      <c r="J96" s="198"/>
      <c r="K96" s="196">
        <f>$AG88/100*$AL$4</f>
        <v>4.9899999999999975</v>
      </c>
      <c r="L96" s="197"/>
      <c r="M96" s="197"/>
      <c r="N96" s="198"/>
      <c r="O96" s="137">
        <v>0</v>
      </c>
      <c r="P96" s="138"/>
      <c r="Q96" s="138"/>
      <c r="R96" s="139"/>
      <c r="S96" s="137">
        <v>0</v>
      </c>
      <c r="T96" s="138"/>
      <c r="U96" s="138"/>
      <c r="V96" s="139"/>
      <c r="W96" s="153">
        <f t="shared" si="6"/>
        <v>9.979999999999995</v>
      </c>
      <c r="X96" s="154"/>
      <c r="Y96" s="154"/>
      <c r="Z96" s="155"/>
    </row>
    <row r="97" spans="1:26" ht="13.5" thickBot="1">
      <c r="A97" s="141"/>
      <c r="B97" s="191" t="s">
        <v>28</v>
      </c>
      <c r="C97" s="192"/>
      <c r="D97" s="192"/>
      <c r="E97" s="192"/>
      <c r="F97" s="193"/>
      <c r="G97" s="149">
        <f>IF(G96&lt;0,G89,G89+G96)</f>
        <v>24.99</v>
      </c>
      <c r="H97" s="147"/>
      <c r="I97" s="147"/>
      <c r="J97" s="148"/>
      <c r="K97" s="146">
        <f>IF(K96&lt;0,K89,K89+K96)</f>
        <v>24.99</v>
      </c>
      <c r="L97" s="147"/>
      <c r="M97" s="147"/>
      <c r="N97" s="148"/>
      <c r="O97" s="255">
        <f>IF(O96&lt;0,O89,O89+O96)</f>
        <v>0</v>
      </c>
      <c r="P97" s="256"/>
      <c r="Q97" s="256"/>
      <c r="R97" s="257"/>
      <c r="S97" s="255">
        <f>IF(S96&lt;0,S89,S89+S96)</f>
        <v>0</v>
      </c>
      <c r="T97" s="256"/>
      <c r="U97" s="256"/>
      <c r="V97" s="257"/>
      <c r="W97" s="150">
        <f t="shared" si="6"/>
        <v>49.98</v>
      </c>
      <c r="X97" s="151"/>
      <c r="Y97" s="151"/>
      <c r="Z97" s="152"/>
    </row>
    <row r="98" spans="1:35" ht="12.75" customHeight="1">
      <c r="A98" s="140" t="s">
        <v>68</v>
      </c>
      <c r="B98" s="93" t="s">
        <v>23</v>
      </c>
      <c r="C98" s="94"/>
      <c r="D98" s="94"/>
      <c r="E98" s="94"/>
      <c r="F98" s="199"/>
      <c r="G98" s="185">
        <v>6980</v>
      </c>
      <c r="H98" s="183"/>
      <c r="I98" s="183"/>
      <c r="J98" s="184"/>
      <c r="K98" s="182">
        <v>6980</v>
      </c>
      <c r="L98" s="183"/>
      <c r="M98" s="183"/>
      <c r="N98" s="184"/>
      <c r="O98" s="242">
        <v>0</v>
      </c>
      <c r="P98" s="243"/>
      <c r="Q98" s="243"/>
      <c r="R98" s="244"/>
      <c r="S98" s="242">
        <v>0</v>
      </c>
      <c r="T98" s="243"/>
      <c r="U98" s="243"/>
      <c r="V98" s="244"/>
      <c r="W98" s="170">
        <f>SUM(G98:V98)</f>
        <v>13960</v>
      </c>
      <c r="X98" s="171"/>
      <c r="Y98" s="171"/>
      <c r="Z98" s="172"/>
      <c r="AA98" s="236" t="s">
        <v>53</v>
      </c>
      <c r="AB98" s="94"/>
      <c r="AC98" s="94"/>
      <c r="AD98" s="94"/>
      <c r="AE98" s="94"/>
      <c r="AF98" s="94"/>
      <c r="AG98" s="269">
        <v>0</v>
      </c>
      <c r="AH98" s="270"/>
      <c r="AI98" s="271"/>
    </row>
    <row r="99" spans="1:35" ht="12.75">
      <c r="A99" s="141"/>
      <c r="B99" s="125" t="s">
        <v>24</v>
      </c>
      <c r="C99" s="126"/>
      <c r="D99" s="126"/>
      <c r="E99" s="126"/>
      <c r="F99" s="161"/>
      <c r="G99" s="239">
        <v>6980</v>
      </c>
      <c r="H99" s="240"/>
      <c r="I99" s="240"/>
      <c r="J99" s="241"/>
      <c r="K99" s="166">
        <v>6980</v>
      </c>
      <c r="L99" s="167"/>
      <c r="M99" s="167"/>
      <c r="N99" s="168"/>
      <c r="O99" s="239">
        <v>0</v>
      </c>
      <c r="P99" s="240"/>
      <c r="Q99" s="240"/>
      <c r="R99" s="241"/>
      <c r="S99" s="239">
        <v>0</v>
      </c>
      <c r="T99" s="240"/>
      <c r="U99" s="240"/>
      <c r="V99" s="241"/>
      <c r="W99" s="153">
        <f aca="true" t="shared" si="7" ref="W99:W110">G99+K99+O99+S99</f>
        <v>13960</v>
      </c>
      <c r="X99" s="154"/>
      <c r="Y99" s="154"/>
      <c r="Z99" s="155"/>
      <c r="AA99" s="205" t="s">
        <v>54</v>
      </c>
      <c r="AB99" s="126"/>
      <c r="AC99" s="126"/>
      <c r="AD99" s="126"/>
      <c r="AE99" s="126"/>
      <c r="AF99" s="126"/>
      <c r="AG99" s="278">
        <v>0</v>
      </c>
      <c r="AH99" s="278"/>
      <c r="AI99" s="279"/>
    </row>
    <row r="100" spans="1:35" ht="12.75">
      <c r="A100" s="141"/>
      <c r="B100" s="125" t="s">
        <v>29</v>
      </c>
      <c r="C100" s="126"/>
      <c r="D100" s="126"/>
      <c r="E100" s="126"/>
      <c r="F100" s="161"/>
      <c r="G100" s="156">
        <f>G99*$Q$2/100</f>
        <v>20.94</v>
      </c>
      <c r="H100" s="157"/>
      <c r="I100" s="157"/>
      <c r="J100" s="158"/>
      <c r="K100" s="156">
        <f>K99*$Q$2/100</f>
        <v>20.94</v>
      </c>
      <c r="L100" s="157"/>
      <c r="M100" s="157"/>
      <c r="N100" s="158"/>
      <c r="O100" s="156">
        <f>O99*$Q$2/100</f>
        <v>0</v>
      </c>
      <c r="P100" s="157"/>
      <c r="Q100" s="157"/>
      <c r="R100" s="158"/>
      <c r="S100" s="156">
        <f>S99*$Q$2/100</f>
        <v>0</v>
      </c>
      <c r="T100" s="157"/>
      <c r="U100" s="157"/>
      <c r="V100" s="158"/>
      <c r="W100" s="153">
        <f t="shared" si="7"/>
        <v>41.88</v>
      </c>
      <c r="X100" s="154"/>
      <c r="Y100" s="154"/>
      <c r="Z100" s="155"/>
      <c r="AA100" s="205" t="s">
        <v>55</v>
      </c>
      <c r="AB100" s="126"/>
      <c r="AC100" s="126"/>
      <c r="AD100" s="126"/>
      <c r="AE100" s="126"/>
      <c r="AF100" s="126"/>
      <c r="AG100" s="134">
        <f>AG99</f>
        <v>0</v>
      </c>
      <c r="AH100" s="134"/>
      <c r="AI100" s="135"/>
    </row>
    <row r="101" spans="1:35" ht="12.75">
      <c r="A101" s="141"/>
      <c r="B101" s="125" t="s">
        <v>10</v>
      </c>
      <c r="C101" s="126"/>
      <c r="D101" s="126"/>
      <c r="E101" s="126"/>
      <c r="F101" s="161"/>
      <c r="G101" s="169">
        <v>20</v>
      </c>
      <c r="H101" s="167"/>
      <c r="I101" s="167"/>
      <c r="J101" s="168"/>
      <c r="K101" s="166">
        <v>20</v>
      </c>
      <c r="L101" s="167"/>
      <c r="M101" s="167"/>
      <c r="N101" s="168"/>
      <c r="O101" s="239">
        <v>0</v>
      </c>
      <c r="P101" s="240"/>
      <c r="Q101" s="240"/>
      <c r="R101" s="241"/>
      <c r="S101" s="239">
        <v>0</v>
      </c>
      <c r="T101" s="240"/>
      <c r="U101" s="240"/>
      <c r="V101" s="241"/>
      <c r="W101" s="153">
        <f t="shared" si="7"/>
        <v>40</v>
      </c>
      <c r="X101" s="154"/>
      <c r="Y101" s="154"/>
      <c r="Z101" s="155"/>
      <c r="AA101" s="205" t="s">
        <v>56</v>
      </c>
      <c r="AB101" s="126"/>
      <c r="AC101" s="126"/>
      <c r="AD101" s="126"/>
      <c r="AE101" s="126"/>
      <c r="AF101" s="126"/>
      <c r="AG101" s="134">
        <f>W108+AG100</f>
        <v>29.819999999999986</v>
      </c>
      <c r="AH101" s="134"/>
      <c r="AI101" s="135"/>
    </row>
    <row r="102" spans="1:35" ht="13.5" thickBot="1">
      <c r="A102" s="141"/>
      <c r="B102" s="125" t="s">
        <v>58</v>
      </c>
      <c r="C102" s="126"/>
      <c r="D102" s="126"/>
      <c r="E102" s="126"/>
      <c r="F102" s="161"/>
      <c r="G102" s="156">
        <f>IF(G100&lt;G101,G101,G100)</f>
        <v>20.94</v>
      </c>
      <c r="H102" s="157"/>
      <c r="I102" s="157"/>
      <c r="J102" s="158"/>
      <c r="K102" s="160">
        <f>IF(K100&lt;K101,K101,K100)</f>
        <v>20.94</v>
      </c>
      <c r="L102" s="157"/>
      <c r="M102" s="157"/>
      <c r="N102" s="158"/>
      <c r="O102" s="246">
        <f>IF(O100&lt;O101,O101,O100)</f>
        <v>0</v>
      </c>
      <c r="P102" s="247"/>
      <c r="Q102" s="247"/>
      <c r="R102" s="248"/>
      <c r="S102" s="246">
        <f>IF(S100&lt;S101,S101,S100)</f>
        <v>0</v>
      </c>
      <c r="T102" s="247"/>
      <c r="U102" s="247"/>
      <c r="V102" s="248"/>
      <c r="W102" s="153">
        <f t="shared" si="7"/>
        <v>41.88</v>
      </c>
      <c r="X102" s="154"/>
      <c r="Y102" s="154"/>
      <c r="Z102" s="155"/>
      <c r="AA102" s="232" t="s">
        <v>57</v>
      </c>
      <c r="AB102" s="90"/>
      <c r="AC102" s="90"/>
      <c r="AD102" s="90"/>
      <c r="AE102" s="90"/>
      <c r="AF102" s="90"/>
      <c r="AG102" s="91">
        <f>-AG100+AG101-W109</f>
        <v>17.891999999999992</v>
      </c>
      <c r="AH102" s="91"/>
      <c r="AI102" s="85"/>
    </row>
    <row r="103" spans="1:35" ht="13.5" thickBot="1">
      <c r="A103" s="141"/>
      <c r="B103" s="125" t="s">
        <v>41</v>
      </c>
      <c r="C103" s="126"/>
      <c r="D103" s="126"/>
      <c r="E103" s="126"/>
      <c r="F103" s="161"/>
      <c r="G103" s="156">
        <v>16.5</v>
      </c>
      <c r="H103" s="157"/>
      <c r="I103" s="157"/>
      <c r="J103" s="158"/>
      <c r="K103" s="156">
        <v>16.5</v>
      </c>
      <c r="L103" s="157"/>
      <c r="M103" s="157"/>
      <c r="N103" s="158"/>
      <c r="O103" s="246">
        <v>0</v>
      </c>
      <c r="P103" s="247"/>
      <c r="Q103" s="247"/>
      <c r="R103" s="248"/>
      <c r="S103" s="246">
        <v>0</v>
      </c>
      <c r="T103" s="247"/>
      <c r="U103" s="247"/>
      <c r="V103" s="248"/>
      <c r="W103" s="153">
        <f t="shared" si="7"/>
        <v>33</v>
      </c>
      <c r="X103" s="154"/>
      <c r="Y103" s="154"/>
      <c r="Z103" s="155"/>
      <c r="AA103" s="230" t="s">
        <v>59</v>
      </c>
      <c r="AB103" s="231"/>
      <c r="AC103" s="231"/>
      <c r="AD103" s="231"/>
      <c r="AE103" s="231"/>
      <c r="AF103" s="231"/>
      <c r="AG103" s="266">
        <f>AG99+AG102</f>
        <v>17.891999999999992</v>
      </c>
      <c r="AH103" s="267"/>
      <c r="AI103" s="268"/>
    </row>
    <row r="104" spans="1:35" ht="12.75">
      <c r="A104" s="141"/>
      <c r="B104" s="125" t="s">
        <v>42</v>
      </c>
      <c r="C104" s="126"/>
      <c r="D104" s="126"/>
      <c r="E104" s="126"/>
      <c r="F104" s="161"/>
      <c r="G104" s="169">
        <v>16.5</v>
      </c>
      <c r="H104" s="167"/>
      <c r="I104" s="167"/>
      <c r="J104" s="168"/>
      <c r="K104" s="169">
        <v>16.5</v>
      </c>
      <c r="L104" s="167"/>
      <c r="M104" s="167"/>
      <c r="N104" s="168"/>
      <c r="O104" s="239">
        <v>0</v>
      </c>
      <c r="P104" s="240"/>
      <c r="Q104" s="240"/>
      <c r="R104" s="241"/>
      <c r="S104" s="239">
        <v>0</v>
      </c>
      <c r="T104" s="240"/>
      <c r="U104" s="240"/>
      <c r="V104" s="241"/>
      <c r="W104" s="153">
        <f t="shared" si="7"/>
        <v>33</v>
      </c>
      <c r="X104" s="154"/>
      <c r="Y104" s="154"/>
      <c r="Z104" s="155"/>
      <c r="AA104" s="136">
        <f>(W103+W102)/W99*100-$L$2</f>
        <v>-0.2136103151862464</v>
      </c>
      <c r="AB104" s="136"/>
      <c r="AC104" s="136"/>
      <c r="AD104" s="136"/>
      <c r="AE104" s="136"/>
      <c r="AF104" s="136"/>
      <c r="AG104" s="136"/>
      <c r="AH104" s="136"/>
      <c r="AI104" s="136"/>
    </row>
    <row r="105" spans="1:35" ht="12.75">
      <c r="A105" s="141"/>
      <c r="B105" s="125" t="s">
        <v>43</v>
      </c>
      <c r="C105" s="126"/>
      <c r="D105" s="126"/>
      <c r="E105" s="126"/>
      <c r="F105" s="161"/>
      <c r="G105" s="165">
        <f>G103-G104</f>
        <v>0</v>
      </c>
      <c r="H105" s="163"/>
      <c r="I105" s="163"/>
      <c r="J105" s="164"/>
      <c r="K105" s="162">
        <f>K103-K104</f>
        <v>0</v>
      </c>
      <c r="L105" s="163"/>
      <c r="M105" s="163"/>
      <c r="N105" s="164"/>
      <c r="O105" s="275">
        <f>O103-O104</f>
        <v>0</v>
      </c>
      <c r="P105" s="276"/>
      <c r="Q105" s="276"/>
      <c r="R105" s="277"/>
      <c r="S105" s="275">
        <v>0</v>
      </c>
      <c r="T105" s="276"/>
      <c r="U105" s="276"/>
      <c r="V105" s="277"/>
      <c r="W105" s="153">
        <f t="shared" si="7"/>
        <v>0</v>
      </c>
      <c r="X105" s="154"/>
      <c r="Y105" s="154"/>
      <c r="Z105" s="155"/>
      <c r="AA105" s="132">
        <f>AG98*W98/100</f>
        <v>0</v>
      </c>
      <c r="AB105" s="233"/>
      <c r="AC105" s="233"/>
      <c r="AD105" s="233"/>
      <c r="AE105" s="233"/>
      <c r="AF105" s="233"/>
      <c r="AG105" s="233"/>
      <c r="AH105" s="233"/>
      <c r="AI105" s="233"/>
    </row>
    <row r="106" spans="1:26" ht="12.75">
      <c r="A106" s="141"/>
      <c r="B106" s="125" t="s">
        <v>30</v>
      </c>
      <c r="C106" s="126"/>
      <c r="D106" s="126"/>
      <c r="E106" s="126"/>
      <c r="F106" s="161"/>
      <c r="G106" s="156">
        <f>G99/100*$L$2</f>
        <v>52.349999999999994</v>
      </c>
      <c r="H106" s="157"/>
      <c r="I106" s="157"/>
      <c r="J106" s="158"/>
      <c r="K106" s="160">
        <f>K99/100*$L$2</f>
        <v>52.349999999999994</v>
      </c>
      <c r="L106" s="157"/>
      <c r="M106" s="157"/>
      <c r="N106" s="158"/>
      <c r="O106" s="246">
        <f>O99/100*$L$2</f>
        <v>0</v>
      </c>
      <c r="P106" s="247"/>
      <c r="Q106" s="247"/>
      <c r="R106" s="248"/>
      <c r="S106" s="246">
        <f>S99/100*$L$2</f>
        <v>0</v>
      </c>
      <c r="T106" s="247"/>
      <c r="U106" s="247"/>
      <c r="V106" s="248"/>
      <c r="W106" s="153">
        <f t="shared" si="7"/>
        <v>104.69999999999999</v>
      </c>
      <c r="X106" s="154"/>
      <c r="Y106" s="154"/>
      <c r="Z106" s="155"/>
    </row>
    <row r="107" spans="1:26" ht="12.75">
      <c r="A107" s="141"/>
      <c r="B107" s="125" t="s">
        <v>44</v>
      </c>
      <c r="C107" s="126"/>
      <c r="D107" s="126"/>
      <c r="E107" s="126"/>
      <c r="F107" s="161"/>
      <c r="G107" s="156">
        <f>G106-G103-G102</f>
        <v>14.909999999999993</v>
      </c>
      <c r="H107" s="157"/>
      <c r="I107" s="157"/>
      <c r="J107" s="158"/>
      <c r="K107" s="160">
        <f>K106-K103-K102</f>
        <v>14.909999999999993</v>
      </c>
      <c r="L107" s="157"/>
      <c r="M107" s="157"/>
      <c r="N107" s="158"/>
      <c r="O107" s="246">
        <f>O106-O103-O102</f>
        <v>0</v>
      </c>
      <c r="P107" s="247"/>
      <c r="Q107" s="247"/>
      <c r="R107" s="248"/>
      <c r="S107" s="246">
        <f>S106-S103-S102</f>
        <v>0</v>
      </c>
      <c r="T107" s="247"/>
      <c r="U107" s="247"/>
      <c r="V107" s="248"/>
      <c r="W107" s="153">
        <f t="shared" si="7"/>
        <v>29.819999999999986</v>
      </c>
      <c r="X107" s="154"/>
      <c r="Y107" s="154"/>
      <c r="Z107" s="155"/>
    </row>
    <row r="108" spans="1:26" ht="12.75">
      <c r="A108" s="141"/>
      <c r="B108" s="125" t="s">
        <v>45</v>
      </c>
      <c r="C108" s="126"/>
      <c r="D108" s="126"/>
      <c r="E108" s="126"/>
      <c r="F108" s="161"/>
      <c r="G108" s="156">
        <f>G107+G105</f>
        <v>14.909999999999993</v>
      </c>
      <c r="H108" s="157"/>
      <c r="I108" s="157"/>
      <c r="J108" s="158"/>
      <c r="K108" s="160">
        <f>K107+K105</f>
        <v>14.909999999999993</v>
      </c>
      <c r="L108" s="157"/>
      <c r="M108" s="157"/>
      <c r="N108" s="158"/>
      <c r="O108" s="246">
        <f>O107+O105</f>
        <v>0</v>
      </c>
      <c r="P108" s="247"/>
      <c r="Q108" s="247"/>
      <c r="R108" s="248"/>
      <c r="S108" s="246">
        <f>S107+S105</f>
        <v>0</v>
      </c>
      <c r="T108" s="247"/>
      <c r="U108" s="247"/>
      <c r="V108" s="248"/>
      <c r="W108" s="153">
        <f t="shared" si="7"/>
        <v>29.819999999999986</v>
      </c>
      <c r="X108" s="154"/>
      <c r="Y108" s="154"/>
      <c r="Z108" s="155"/>
    </row>
    <row r="109" spans="1:26" ht="12.75">
      <c r="A109" s="141"/>
      <c r="B109" s="194" t="s">
        <v>26</v>
      </c>
      <c r="C109" s="98"/>
      <c r="D109" s="98"/>
      <c r="E109" s="98"/>
      <c r="F109" s="195"/>
      <c r="G109" s="196">
        <f>$AG101/100*$AL$3</f>
        <v>5.963999999999997</v>
      </c>
      <c r="H109" s="197"/>
      <c r="I109" s="197"/>
      <c r="J109" s="198"/>
      <c r="K109" s="196">
        <f>$AG101/100*$AL$4</f>
        <v>5.963999999999997</v>
      </c>
      <c r="L109" s="197"/>
      <c r="M109" s="197"/>
      <c r="N109" s="198"/>
      <c r="O109" s="137">
        <v>0</v>
      </c>
      <c r="P109" s="138"/>
      <c r="Q109" s="138"/>
      <c r="R109" s="139"/>
      <c r="S109" s="137">
        <v>0</v>
      </c>
      <c r="T109" s="138"/>
      <c r="U109" s="138"/>
      <c r="V109" s="139"/>
      <c r="W109" s="153">
        <f t="shared" si="7"/>
        <v>11.927999999999994</v>
      </c>
      <c r="X109" s="154"/>
      <c r="Y109" s="154"/>
      <c r="Z109" s="155"/>
    </row>
    <row r="110" spans="1:26" ht="13.5" thickBot="1">
      <c r="A110" s="142"/>
      <c r="B110" s="191" t="s">
        <v>28</v>
      </c>
      <c r="C110" s="192"/>
      <c r="D110" s="192"/>
      <c r="E110" s="192"/>
      <c r="F110" s="193"/>
      <c r="G110" s="149">
        <f>IF(G109&lt;0,G102,G102+G109)</f>
        <v>26.903999999999996</v>
      </c>
      <c r="H110" s="147"/>
      <c r="I110" s="147"/>
      <c r="J110" s="148"/>
      <c r="K110" s="146">
        <f>IF(K109&lt;0,K102,K102+K109)</f>
        <v>26.903999999999996</v>
      </c>
      <c r="L110" s="147"/>
      <c r="M110" s="147"/>
      <c r="N110" s="148"/>
      <c r="O110" s="255">
        <f>IF(O109&lt;0,O102,O102+O109)</f>
        <v>0</v>
      </c>
      <c r="P110" s="256"/>
      <c r="Q110" s="256"/>
      <c r="R110" s="257"/>
      <c r="S110" s="255">
        <f>IF(S109&lt;0,S102,S102+S109)</f>
        <v>0</v>
      </c>
      <c r="T110" s="256"/>
      <c r="U110" s="256"/>
      <c r="V110" s="257"/>
      <c r="W110" s="150">
        <f t="shared" si="7"/>
        <v>53.80799999999999</v>
      </c>
      <c r="X110" s="151"/>
      <c r="Y110" s="151"/>
      <c r="Z110" s="152"/>
    </row>
    <row r="111" spans="1:35" ht="12.75" customHeight="1">
      <c r="A111" s="143" t="s">
        <v>69</v>
      </c>
      <c r="B111" s="93" t="s">
        <v>23</v>
      </c>
      <c r="C111" s="94"/>
      <c r="D111" s="94"/>
      <c r="E111" s="94"/>
      <c r="F111" s="199"/>
      <c r="G111" s="185">
        <v>7180</v>
      </c>
      <c r="H111" s="183"/>
      <c r="I111" s="183"/>
      <c r="J111" s="184"/>
      <c r="K111" s="182">
        <v>7180</v>
      </c>
      <c r="L111" s="183"/>
      <c r="M111" s="183"/>
      <c r="N111" s="184"/>
      <c r="O111" s="242">
        <v>0</v>
      </c>
      <c r="P111" s="243"/>
      <c r="Q111" s="243"/>
      <c r="R111" s="244"/>
      <c r="S111" s="242">
        <v>0</v>
      </c>
      <c r="T111" s="243"/>
      <c r="U111" s="243"/>
      <c r="V111" s="244"/>
      <c r="W111" s="170">
        <f>SUM(G111:V111)</f>
        <v>14360</v>
      </c>
      <c r="X111" s="171"/>
      <c r="Y111" s="171"/>
      <c r="Z111" s="172"/>
      <c r="AA111" s="236" t="s">
        <v>53</v>
      </c>
      <c r="AB111" s="94"/>
      <c r="AC111" s="94"/>
      <c r="AD111" s="94"/>
      <c r="AE111" s="94"/>
      <c r="AF111" s="94"/>
      <c r="AG111" s="269">
        <v>0</v>
      </c>
      <c r="AH111" s="270"/>
      <c r="AI111" s="271"/>
    </row>
    <row r="112" spans="1:35" ht="12.75">
      <c r="A112" s="144"/>
      <c r="B112" s="125" t="s">
        <v>24</v>
      </c>
      <c r="C112" s="126"/>
      <c r="D112" s="126"/>
      <c r="E112" s="126"/>
      <c r="F112" s="161"/>
      <c r="G112" s="239">
        <v>7180</v>
      </c>
      <c r="H112" s="240"/>
      <c r="I112" s="240"/>
      <c r="J112" s="241"/>
      <c r="K112" s="166">
        <v>7180</v>
      </c>
      <c r="L112" s="167"/>
      <c r="M112" s="167"/>
      <c r="N112" s="168"/>
      <c r="O112" s="239">
        <v>0</v>
      </c>
      <c r="P112" s="240"/>
      <c r="Q112" s="240"/>
      <c r="R112" s="241"/>
      <c r="S112" s="239">
        <v>0</v>
      </c>
      <c r="T112" s="240"/>
      <c r="U112" s="240"/>
      <c r="V112" s="241"/>
      <c r="W112" s="153">
        <f aca="true" t="shared" si="8" ref="W112:W123">G112+K112+O112+S112</f>
        <v>14360</v>
      </c>
      <c r="X112" s="154"/>
      <c r="Y112" s="154"/>
      <c r="Z112" s="155"/>
      <c r="AA112" s="205" t="s">
        <v>54</v>
      </c>
      <c r="AB112" s="126"/>
      <c r="AC112" s="126"/>
      <c r="AD112" s="126"/>
      <c r="AE112" s="126"/>
      <c r="AF112" s="126"/>
      <c r="AG112" s="278">
        <v>0</v>
      </c>
      <c r="AH112" s="278"/>
      <c r="AI112" s="279"/>
    </row>
    <row r="113" spans="1:35" ht="12.75">
      <c r="A113" s="144"/>
      <c r="B113" s="125" t="s">
        <v>29</v>
      </c>
      <c r="C113" s="126"/>
      <c r="D113" s="126"/>
      <c r="E113" s="126"/>
      <c r="F113" s="161"/>
      <c r="G113" s="156">
        <f>G112*$Q$2/100</f>
        <v>21.54</v>
      </c>
      <c r="H113" s="157"/>
      <c r="I113" s="157"/>
      <c r="J113" s="158"/>
      <c r="K113" s="156">
        <f>K112*$Q$2/100</f>
        <v>21.54</v>
      </c>
      <c r="L113" s="157"/>
      <c r="M113" s="157"/>
      <c r="N113" s="158"/>
      <c r="O113" s="156">
        <f>O112*$Q$2/100</f>
        <v>0</v>
      </c>
      <c r="P113" s="157"/>
      <c r="Q113" s="157"/>
      <c r="R113" s="158"/>
      <c r="S113" s="156">
        <f>S112*$Q$2/100</f>
        <v>0</v>
      </c>
      <c r="T113" s="157"/>
      <c r="U113" s="157"/>
      <c r="V113" s="158"/>
      <c r="W113" s="153">
        <f t="shared" si="8"/>
        <v>43.08</v>
      </c>
      <c r="X113" s="154"/>
      <c r="Y113" s="154"/>
      <c r="Z113" s="155"/>
      <c r="AA113" s="205" t="s">
        <v>55</v>
      </c>
      <c r="AB113" s="126"/>
      <c r="AC113" s="126"/>
      <c r="AD113" s="126"/>
      <c r="AE113" s="126"/>
      <c r="AF113" s="126"/>
      <c r="AG113" s="134">
        <f>AG112</f>
        <v>0</v>
      </c>
      <c r="AH113" s="134"/>
      <c r="AI113" s="135"/>
    </row>
    <row r="114" spans="1:35" ht="12.75">
      <c r="A114" s="144"/>
      <c r="B114" s="125" t="s">
        <v>10</v>
      </c>
      <c r="C114" s="126"/>
      <c r="D114" s="126"/>
      <c r="E114" s="126"/>
      <c r="F114" s="161"/>
      <c r="G114" s="169">
        <v>20</v>
      </c>
      <c r="H114" s="167"/>
      <c r="I114" s="167"/>
      <c r="J114" s="168"/>
      <c r="K114" s="166">
        <v>20</v>
      </c>
      <c r="L114" s="167"/>
      <c r="M114" s="167"/>
      <c r="N114" s="168"/>
      <c r="O114" s="239">
        <v>0</v>
      </c>
      <c r="P114" s="240"/>
      <c r="Q114" s="240"/>
      <c r="R114" s="241"/>
      <c r="S114" s="239">
        <v>0</v>
      </c>
      <c r="T114" s="240"/>
      <c r="U114" s="240"/>
      <c r="V114" s="241"/>
      <c r="W114" s="153">
        <f t="shared" si="8"/>
        <v>40</v>
      </c>
      <c r="X114" s="154"/>
      <c r="Y114" s="154"/>
      <c r="Z114" s="155"/>
      <c r="AA114" s="205" t="s">
        <v>56</v>
      </c>
      <c r="AB114" s="126"/>
      <c r="AC114" s="126"/>
      <c r="AD114" s="126"/>
      <c r="AE114" s="126"/>
      <c r="AF114" s="126"/>
      <c r="AG114" s="134">
        <f>W121+AG113</f>
        <v>31.61999999999999</v>
      </c>
      <c r="AH114" s="134"/>
      <c r="AI114" s="135"/>
    </row>
    <row r="115" spans="1:35" ht="13.5" thickBot="1">
      <c r="A115" s="144"/>
      <c r="B115" s="125" t="s">
        <v>58</v>
      </c>
      <c r="C115" s="126"/>
      <c r="D115" s="126"/>
      <c r="E115" s="126"/>
      <c r="F115" s="161"/>
      <c r="G115" s="156">
        <f>IF(G113&lt;G114,G114,G113)</f>
        <v>21.54</v>
      </c>
      <c r="H115" s="157"/>
      <c r="I115" s="157"/>
      <c r="J115" s="158"/>
      <c r="K115" s="160">
        <f>IF(K113&lt;K114,K114,K113)</f>
        <v>21.54</v>
      </c>
      <c r="L115" s="157"/>
      <c r="M115" s="157"/>
      <c r="N115" s="158"/>
      <c r="O115" s="246">
        <f>IF(O113&lt;O114,O114,O113)</f>
        <v>0</v>
      </c>
      <c r="P115" s="247"/>
      <c r="Q115" s="247"/>
      <c r="R115" s="248"/>
      <c r="S115" s="246">
        <f>IF(S113&lt;S114,S114,S113)</f>
        <v>0</v>
      </c>
      <c r="T115" s="247"/>
      <c r="U115" s="247"/>
      <c r="V115" s="248"/>
      <c r="W115" s="153">
        <f t="shared" si="8"/>
        <v>43.08</v>
      </c>
      <c r="X115" s="154"/>
      <c r="Y115" s="154"/>
      <c r="Z115" s="155"/>
      <c r="AA115" s="232" t="s">
        <v>57</v>
      </c>
      <c r="AB115" s="90"/>
      <c r="AC115" s="90"/>
      <c r="AD115" s="90"/>
      <c r="AE115" s="90"/>
      <c r="AF115" s="90"/>
      <c r="AG115" s="91">
        <f>-AG113+AG114-W122</f>
        <v>18.971999999999994</v>
      </c>
      <c r="AH115" s="91"/>
      <c r="AI115" s="85"/>
    </row>
    <row r="116" spans="1:35" ht="13.5" thickBot="1">
      <c r="A116" s="144"/>
      <c r="B116" s="125" t="s">
        <v>41</v>
      </c>
      <c r="C116" s="126"/>
      <c r="D116" s="126"/>
      <c r="E116" s="126"/>
      <c r="F116" s="161"/>
      <c r="G116" s="156">
        <v>16.5</v>
      </c>
      <c r="H116" s="157"/>
      <c r="I116" s="157"/>
      <c r="J116" s="158"/>
      <c r="K116" s="156">
        <v>16.5</v>
      </c>
      <c r="L116" s="157"/>
      <c r="M116" s="157"/>
      <c r="N116" s="158"/>
      <c r="O116" s="246">
        <v>0</v>
      </c>
      <c r="P116" s="247"/>
      <c r="Q116" s="247"/>
      <c r="R116" s="248"/>
      <c r="S116" s="246">
        <v>0</v>
      </c>
      <c r="T116" s="247"/>
      <c r="U116" s="247"/>
      <c r="V116" s="248"/>
      <c r="W116" s="153">
        <f t="shared" si="8"/>
        <v>33</v>
      </c>
      <c r="X116" s="154"/>
      <c r="Y116" s="154"/>
      <c r="Z116" s="155"/>
      <c r="AA116" s="230" t="s">
        <v>59</v>
      </c>
      <c r="AB116" s="231"/>
      <c r="AC116" s="231"/>
      <c r="AD116" s="231"/>
      <c r="AE116" s="231"/>
      <c r="AF116" s="231"/>
      <c r="AG116" s="266">
        <f>AG112+AG115</f>
        <v>18.971999999999994</v>
      </c>
      <c r="AH116" s="267"/>
      <c r="AI116" s="268"/>
    </row>
    <row r="117" spans="1:35" ht="12.75">
      <c r="A117" s="144"/>
      <c r="B117" s="125" t="s">
        <v>42</v>
      </c>
      <c r="C117" s="126"/>
      <c r="D117" s="126"/>
      <c r="E117" s="126"/>
      <c r="F117" s="161"/>
      <c r="G117" s="169">
        <v>16.5</v>
      </c>
      <c r="H117" s="167"/>
      <c r="I117" s="167"/>
      <c r="J117" s="168"/>
      <c r="K117" s="169">
        <v>16.5</v>
      </c>
      <c r="L117" s="167"/>
      <c r="M117" s="167"/>
      <c r="N117" s="168"/>
      <c r="O117" s="239">
        <v>0</v>
      </c>
      <c r="P117" s="240"/>
      <c r="Q117" s="240"/>
      <c r="R117" s="241"/>
      <c r="S117" s="239">
        <v>0</v>
      </c>
      <c r="T117" s="240"/>
      <c r="U117" s="240"/>
      <c r="V117" s="241"/>
      <c r="W117" s="153">
        <f t="shared" si="8"/>
        <v>33</v>
      </c>
      <c r="X117" s="154"/>
      <c r="Y117" s="154"/>
      <c r="Z117" s="155"/>
      <c r="AA117" s="136">
        <f>(W116+W115)/W112*100-$L$2</f>
        <v>-0.22019498607242338</v>
      </c>
      <c r="AB117" s="136"/>
      <c r="AC117" s="136"/>
      <c r="AD117" s="136"/>
      <c r="AE117" s="136"/>
      <c r="AF117" s="136"/>
      <c r="AG117" s="136"/>
      <c r="AH117" s="136"/>
      <c r="AI117" s="136"/>
    </row>
    <row r="118" spans="1:35" ht="12.75">
      <c r="A118" s="144"/>
      <c r="B118" s="125" t="s">
        <v>43</v>
      </c>
      <c r="C118" s="126"/>
      <c r="D118" s="126"/>
      <c r="E118" s="126"/>
      <c r="F118" s="161"/>
      <c r="G118" s="165">
        <f>G116-G117</f>
        <v>0</v>
      </c>
      <c r="H118" s="163"/>
      <c r="I118" s="163"/>
      <c r="J118" s="164"/>
      <c r="K118" s="162">
        <f>K116-K117</f>
        <v>0</v>
      </c>
      <c r="L118" s="163"/>
      <c r="M118" s="163"/>
      <c r="N118" s="164"/>
      <c r="O118" s="275">
        <f>O116-O117</f>
        <v>0</v>
      </c>
      <c r="P118" s="276"/>
      <c r="Q118" s="276"/>
      <c r="R118" s="277"/>
      <c r="S118" s="275">
        <v>0</v>
      </c>
      <c r="T118" s="276"/>
      <c r="U118" s="276"/>
      <c r="V118" s="277"/>
      <c r="W118" s="153">
        <f t="shared" si="8"/>
        <v>0</v>
      </c>
      <c r="X118" s="154"/>
      <c r="Y118" s="154"/>
      <c r="Z118" s="155"/>
      <c r="AA118" s="132">
        <f>AG111*W111/100</f>
        <v>0</v>
      </c>
      <c r="AB118" s="233"/>
      <c r="AC118" s="233"/>
      <c r="AD118" s="233"/>
      <c r="AE118" s="233"/>
      <c r="AF118" s="233"/>
      <c r="AG118" s="233"/>
      <c r="AH118" s="233"/>
      <c r="AI118" s="233"/>
    </row>
    <row r="119" spans="1:26" ht="12.75">
      <c r="A119" s="144"/>
      <c r="B119" s="125" t="s">
        <v>30</v>
      </c>
      <c r="C119" s="126"/>
      <c r="D119" s="126"/>
      <c r="E119" s="126"/>
      <c r="F119" s="161"/>
      <c r="G119" s="156">
        <f>G112/100*$L$2</f>
        <v>53.849999999999994</v>
      </c>
      <c r="H119" s="157"/>
      <c r="I119" s="157"/>
      <c r="J119" s="158"/>
      <c r="K119" s="160">
        <f>K112/100*$L$2</f>
        <v>53.849999999999994</v>
      </c>
      <c r="L119" s="157"/>
      <c r="M119" s="157"/>
      <c r="N119" s="158"/>
      <c r="O119" s="246">
        <f>O112/100*$L$2</f>
        <v>0</v>
      </c>
      <c r="P119" s="247"/>
      <c r="Q119" s="247"/>
      <c r="R119" s="248"/>
      <c r="S119" s="246">
        <f>S112/100*$L$2</f>
        <v>0</v>
      </c>
      <c r="T119" s="247"/>
      <c r="U119" s="247"/>
      <c r="V119" s="248"/>
      <c r="W119" s="153">
        <f t="shared" si="8"/>
        <v>107.69999999999999</v>
      </c>
      <c r="X119" s="154"/>
      <c r="Y119" s="154"/>
      <c r="Z119" s="155"/>
    </row>
    <row r="120" spans="1:26" ht="12.75">
      <c r="A120" s="144"/>
      <c r="B120" s="125" t="s">
        <v>44</v>
      </c>
      <c r="C120" s="126"/>
      <c r="D120" s="126"/>
      <c r="E120" s="126"/>
      <c r="F120" s="161"/>
      <c r="G120" s="156">
        <f>G119-G116-G115</f>
        <v>15.809999999999995</v>
      </c>
      <c r="H120" s="157"/>
      <c r="I120" s="157"/>
      <c r="J120" s="158"/>
      <c r="K120" s="160">
        <f>K119-K116-K115</f>
        <v>15.809999999999995</v>
      </c>
      <c r="L120" s="157"/>
      <c r="M120" s="157"/>
      <c r="N120" s="158"/>
      <c r="O120" s="246">
        <f>O119-O116-O115</f>
        <v>0</v>
      </c>
      <c r="P120" s="247"/>
      <c r="Q120" s="247"/>
      <c r="R120" s="248"/>
      <c r="S120" s="246">
        <f>S119-S116-S115</f>
        <v>0</v>
      </c>
      <c r="T120" s="247"/>
      <c r="U120" s="247"/>
      <c r="V120" s="248"/>
      <c r="W120" s="153">
        <f t="shared" si="8"/>
        <v>31.61999999999999</v>
      </c>
      <c r="X120" s="154"/>
      <c r="Y120" s="154"/>
      <c r="Z120" s="155"/>
    </row>
    <row r="121" spans="1:26" ht="12.75">
      <c r="A121" s="144"/>
      <c r="B121" s="125" t="s">
        <v>45</v>
      </c>
      <c r="C121" s="126"/>
      <c r="D121" s="126"/>
      <c r="E121" s="126"/>
      <c r="F121" s="161"/>
      <c r="G121" s="156">
        <f>G120+G118</f>
        <v>15.809999999999995</v>
      </c>
      <c r="H121" s="157"/>
      <c r="I121" s="157"/>
      <c r="J121" s="158"/>
      <c r="K121" s="160">
        <f>K120+K118</f>
        <v>15.809999999999995</v>
      </c>
      <c r="L121" s="157"/>
      <c r="M121" s="157"/>
      <c r="N121" s="158"/>
      <c r="O121" s="246">
        <f>O120+O118</f>
        <v>0</v>
      </c>
      <c r="P121" s="247"/>
      <c r="Q121" s="247"/>
      <c r="R121" s="248"/>
      <c r="S121" s="246">
        <f>S120+S118</f>
        <v>0</v>
      </c>
      <c r="T121" s="247"/>
      <c r="U121" s="247"/>
      <c r="V121" s="248"/>
      <c r="W121" s="153">
        <f t="shared" si="8"/>
        <v>31.61999999999999</v>
      </c>
      <c r="X121" s="154"/>
      <c r="Y121" s="154"/>
      <c r="Z121" s="155"/>
    </row>
    <row r="122" spans="1:26" ht="12.75">
      <c r="A122" s="144"/>
      <c r="B122" s="194" t="s">
        <v>26</v>
      </c>
      <c r="C122" s="98"/>
      <c r="D122" s="98"/>
      <c r="E122" s="98"/>
      <c r="F122" s="195"/>
      <c r="G122" s="196">
        <f>$AG114/100*$AL$3</f>
        <v>6.323999999999998</v>
      </c>
      <c r="H122" s="197"/>
      <c r="I122" s="197"/>
      <c r="J122" s="198"/>
      <c r="K122" s="196">
        <f>$AG114/100*$AL$4</f>
        <v>6.323999999999998</v>
      </c>
      <c r="L122" s="197"/>
      <c r="M122" s="197"/>
      <c r="N122" s="198"/>
      <c r="O122" s="137">
        <v>0</v>
      </c>
      <c r="P122" s="138"/>
      <c r="Q122" s="138"/>
      <c r="R122" s="139"/>
      <c r="S122" s="137">
        <v>0</v>
      </c>
      <c r="T122" s="138"/>
      <c r="U122" s="138"/>
      <c r="V122" s="139"/>
      <c r="W122" s="153">
        <f t="shared" si="8"/>
        <v>12.647999999999996</v>
      </c>
      <c r="X122" s="154"/>
      <c r="Y122" s="154"/>
      <c r="Z122" s="155"/>
    </row>
    <row r="123" spans="1:26" ht="13.5" thickBot="1">
      <c r="A123" s="144"/>
      <c r="B123" s="191" t="s">
        <v>28</v>
      </c>
      <c r="C123" s="192"/>
      <c r="D123" s="192"/>
      <c r="E123" s="192"/>
      <c r="F123" s="193"/>
      <c r="G123" s="149">
        <f>IF(G122&lt;0,G115,G115+G122)</f>
        <v>27.863999999999997</v>
      </c>
      <c r="H123" s="147"/>
      <c r="I123" s="147"/>
      <c r="J123" s="148"/>
      <c r="K123" s="146">
        <f>IF(K122&lt;0,K115,K115+K122)</f>
        <v>27.863999999999997</v>
      </c>
      <c r="L123" s="147"/>
      <c r="M123" s="147"/>
      <c r="N123" s="148"/>
      <c r="O123" s="255">
        <f>IF(O122&lt;0,O115,O115+O122)</f>
        <v>0</v>
      </c>
      <c r="P123" s="256"/>
      <c r="Q123" s="256"/>
      <c r="R123" s="257"/>
      <c r="S123" s="255">
        <f>IF(S122&lt;0,S115,S115+S122)</f>
        <v>0</v>
      </c>
      <c r="T123" s="256"/>
      <c r="U123" s="256"/>
      <c r="V123" s="257"/>
      <c r="W123" s="150">
        <f t="shared" si="8"/>
        <v>55.727999999999994</v>
      </c>
      <c r="X123" s="151"/>
      <c r="Y123" s="151"/>
      <c r="Z123" s="152"/>
    </row>
    <row r="124" spans="1:35" ht="12.75" customHeight="1">
      <c r="A124" s="143" t="s">
        <v>70</v>
      </c>
      <c r="B124" s="93" t="s">
        <v>23</v>
      </c>
      <c r="C124" s="94"/>
      <c r="D124" s="94"/>
      <c r="E124" s="94"/>
      <c r="F124" s="199"/>
      <c r="G124" s="185">
        <v>7280</v>
      </c>
      <c r="H124" s="183"/>
      <c r="I124" s="183"/>
      <c r="J124" s="184"/>
      <c r="K124" s="182">
        <v>7280</v>
      </c>
      <c r="L124" s="183"/>
      <c r="M124" s="183"/>
      <c r="N124" s="184"/>
      <c r="O124" s="242">
        <v>0</v>
      </c>
      <c r="P124" s="243"/>
      <c r="Q124" s="243"/>
      <c r="R124" s="244"/>
      <c r="S124" s="242">
        <v>0</v>
      </c>
      <c r="T124" s="243"/>
      <c r="U124" s="243"/>
      <c r="V124" s="244"/>
      <c r="W124" s="170">
        <f>SUM(G124:V124)</f>
        <v>14560</v>
      </c>
      <c r="X124" s="171"/>
      <c r="Y124" s="171"/>
      <c r="Z124" s="172"/>
      <c r="AA124" s="236" t="s">
        <v>53</v>
      </c>
      <c r="AB124" s="94"/>
      <c r="AC124" s="94"/>
      <c r="AD124" s="94"/>
      <c r="AE124" s="94"/>
      <c r="AF124" s="94"/>
      <c r="AG124" s="269">
        <v>0</v>
      </c>
      <c r="AH124" s="270"/>
      <c r="AI124" s="271"/>
    </row>
    <row r="125" spans="1:35" ht="12.75">
      <c r="A125" s="144"/>
      <c r="B125" s="125" t="s">
        <v>24</v>
      </c>
      <c r="C125" s="126"/>
      <c r="D125" s="126"/>
      <c r="E125" s="126"/>
      <c r="F125" s="161"/>
      <c r="G125" s="239">
        <v>7280</v>
      </c>
      <c r="H125" s="240"/>
      <c r="I125" s="240"/>
      <c r="J125" s="241"/>
      <c r="K125" s="166">
        <v>7280</v>
      </c>
      <c r="L125" s="167"/>
      <c r="M125" s="167"/>
      <c r="N125" s="168"/>
      <c r="O125" s="239">
        <v>0</v>
      </c>
      <c r="P125" s="240"/>
      <c r="Q125" s="240"/>
      <c r="R125" s="241"/>
      <c r="S125" s="239">
        <v>0</v>
      </c>
      <c r="T125" s="240"/>
      <c r="U125" s="240"/>
      <c r="V125" s="241"/>
      <c r="W125" s="153">
        <f aca="true" t="shared" si="9" ref="W125:W136">G125+K125+O125+S125</f>
        <v>14560</v>
      </c>
      <c r="X125" s="154"/>
      <c r="Y125" s="154"/>
      <c r="Z125" s="155"/>
      <c r="AA125" s="205" t="s">
        <v>54</v>
      </c>
      <c r="AB125" s="126"/>
      <c r="AC125" s="126"/>
      <c r="AD125" s="126"/>
      <c r="AE125" s="126"/>
      <c r="AF125" s="126"/>
      <c r="AG125" s="278">
        <v>0</v>
      </c>
      <c r="AH125" s="278"/>
      <c r="AI125" s="279"/>
    </row>
    <row r="126" spans="1:35" ht="12.75">
      <c r="A126" s="144"/>
      <c r="B126" s="125" t="s">
        <v>29</v>
      </c>
      <c r="C126" s="126"/>
      <c r="D126" s="126"/>
      <c r="E126" s="126"/>
      <c r="F126" s="161"/>
      <c r="G126" s="156">
        <f>G125*$Q$2/100</f>
        <v>21.84</v>
      </c>
      <c r="H126" s="157"/>
      <c r="I126" s="157"/>
      <c r="J126" s="158"/>
      <c r="K126" s="156">
        <f>K125*$Q$2/100</f>
        <v>21.84</v>
      </c>
      <c r="L126" s="157"/>
      <c r="M126" s="157"/>
      <c r="N126" s="158"/>
      <c r="O126" s="156">
        <f>O125*$Q$2/100</f>
        <v>0</v>
      </c>
      <c r="P126" s="157"/>
      <c r="Q126" s="157"/>
      <c r="R126" s="158"/>
      <c r="S126" s="156">
        <f>S125*$Q$2/100</f>
        <v>0</v>
      </c>
      <c r="T126" s="157"/>
      <c r="U126" s="157"/>
      <c r="V126" s="158"/>
      <c r="W126" s="153">
        <f t="shared" si="9"/>
        <v>43.68</v>
      </c>
      <c r="X126" s="154"/>
      <c r="Y126" s="154"/>
      <c r="Z126" s="155"/>
      <c r="AA126" s="205" t="s">
        <v>55</v>
      </c>
      <c r="AB126" s="126"/>
      <c r="AC126" s="126"/>
      <c r="AD126" s="126"/>
      <c r="AE126" s="126"/>
      <c r="AF126" s="126"/>
      <c r="AG126" s="134">
        <f>AG125</f>
        <v>0</v>
      </c>
      <c r="AH126" s="134"/>
      <c r="AI126" s="135"/>
    </row>
    <row r="127" spans="1:35" ht="12.75">
      <c r="A127" s="144"/>
      <c r="B127" s="125" t="s">
        <v>10</v>
      </c>
      <c r="C127" s="126"/>
      <c r="D127" s="126"/>
      <c r="E127" s="126"/>
      <c r="F127" s="161"/>
      <c r="G127" s="169">
        <v>20</v>
      </c>
      <c r="H127" s="167"/>
      <c r="I127" s="167"/>
      <c r="J127" s="168"/>
      <c r="K127" s="166">
        <v>20</v>
      </c>
      <c r="L127" s="167"/>
      <c r="M127" s="167"/>
      <c r="N127" s="168"/>
      <c r="O127" s="239">
        <v>0</v>
      </c>
      <c r="P127" s="240"/>
      <c r="Q127" s="240"/>
      <c r="R127" s="241"/>
      <c r="S127" s="239">
        <v>0</v>
      </c>
      <c r="T127" s="240"/>
      <c r="U127" s="240"/>
      <c r="V127" s="241"/>
      <c r="W127" s="153">
        <f t="shared" si="9"/>
        <v>40</v>
      </c>
      <c r="X127" s="154"/>
      <c r="Y127" s="154"/>
      <c r="Z127" s="155"/>
      <c r="AA127" s="205" t="s">
        <v>56</v>
      </c>
      <c r="AB127" s="126"/>
      <c r="AC127" s="126"/>
      <c r="AD127" s="126"/>
      <c r="AE127" s="126"/>
      <c r="AF127" s="126"/>
      <c r="AG127" s="134">
        <f>W134+AG126</f>
        <v>32.51999999999999</v>
      </c>
      <c r="AH127" s="134"/>
      <c r="AI127" s="135"/>
    </row>
    <row r="128" spans="1:35" ht="13.5" thickBot="1">
      <c r="A128" s="144"/>
      <c r="B128" s="125" t="s">
        <v>58</v>
      </c>
      <c r="C128" s="126"/>
      <c r="D128" s="126"/>
      <c r="E128" s="126"/>
      <c r="F128" s="161"/>
      <c r="G128" s="156">
        <f>IF(G126&lt;G127,G127,G126)</f>
        <v>21.84</v>
      </c>
      <c r="H128" s="157"/>
      <c r="I128" s="157"/>
      <c r="J128" s="158"/>
      <c r="K128" s="160">
        <f>IF(K126&lt;K127,K127,K126)</f>
        <v>21.84</v>
      </c>
      <c r="L128" s="157"/>
      <c r="M128" s="157"/>
      <c r="N128" s="158"/>
      <c r="O128" s="246">
        <f>IF(O126&lt;O127,O127,O126)</f>
        <v>0</v>
      </c>
      <c r="P128" s="247"/>
      <c r="Q128" s="247"/>
      <c r="R128" s="248"/>
      <c r="S128" s="246">
        <f>IF(S126&lt;S127,S127,S126)</f>
        <v>0</v>
      </c>
      <c r="T128" s="247"/>
      <c r="U128" s="247"/>
      <c r="V128" s="248"/>
      <c r="W128" s="153">
        <f t="shared" si="9"/>
        <v>43.68</v>
      </c>
      <c r="X128" s="154"/>
      <c r="Y128" s="154"/>
      <c r="Z128" s="155"/>
      <c r="AA128" s="232" t="s">
        <v>57</v>
      </c>
      <c r="AB128" s="90"/>
      <c r="AC128" s="90"/>
      <c r="AD128" s="90"/>
      <c r="AE128" s="90"/>
      <c r="AF128" s="90"/>
      <c r="AG128" s="91">
        <f>-AG126+AG127-W135</f>
        <v>19.511999999999993</v>
      </c>
      <c r="AH128" s="91"/>
      <c r="AI128" s="85"/>
    </row>
    <row r="129" spans="1:35" ht="13.5" thickBot="1">
      <c r="A129" s="144"/>
      <c r="B129" s="125" t="s">
        <v>41</v>
      </c>
      <c r="C129" s="126"/>
      <c r="D129" s="126"/>
      <c r="E129" s="126"/>
      <c r="F129" s="161"/>
      <c r="G129" s="156">
        <v>16.5</v>
      </c>
      <c r="H129" s="157"/>
      <c r="I129" s="157"/>
      <c r="J129" s="158"/>
      <c r="K129" s="156">
        <v>16.5</v>
      </c>
      <c r="L129" s="157"/>
      <c r="M129" s="157"/>
      <c r="N129" s="158"/>
      <c r="O129" s="246">
        <v>0</v>
      </c>
      <c r="P129" s="247"/>
      <c r="Q129" s="247"/>
      <c r="R129" s="248"/>
      <c r="S129" s="246">
        <v>0</v>
      </c>
      <c r="T129" s="247"/>
      <c r="U129" s="247"/>
      <c r="V129" s="248"/>
      <c r="W129" s="153">
        <f t="shared" si="9"/>
        <v>33</v>
      </c>
      <c r="X129" s="154"/>
      <c r="Y129" s="154"/>
      <c r="Z129" s="155"/>
      <c r="AA129" s="230" t="s">
        <v>59</v>
      </c>
      <c r="AB129" s="231"/>
      <c r="AC129" s="231"/>
      <c r="AD129" s="231"/>
      <c r="AE129" s="231"/>
      <c r="AF129" s="231"/>
      <c r="AG129" s="266">
        <f>AG125+AG128</f>
        <v>19.511999999999993</v>
      </c>
      <c r="AH129" s="267"/>
      <c r="AI129" s="268"/>
    </row>
    <row r="130" spans="1:35" ht="12.75">
      <c r="A130" s="144"/>
      <c r="B130" s="125" t="s">
        <v>42</v>
      </c>
      <c r="C130" s="126"/>
      <c r="D130" s="126"/>
      <c r="E130" s="126"/>
      <c r="F130" s="161"/>
      <c r="G130" s="169">
        <v>16.5</v>
      </c>
      <c r="H130" s="167"/>
      <c r="I130" s="167"/>
      <c r="J130" s="168"/>
      <c r="K130" s="169">
        <v>16.5</v>
      </c>
      <c r="L130" s="167"/>
      <c r="M130" s="167"/>
      <c r="N130" s="168"/>
      <c r="O130" s="239">
        <v>0</v>
      </c>
      <c r="P130" s="240"/>
      <c r="Q130" s="240"/>
      <c r="R130" s="241"/>
      <c r="S130" s="239">
        <v>0</v>
      </c>
      <c r="T130" s="240"/>
      <c r="U130" s="240"/>
      <c r="V130" s="241"/>
      <c r="W130" s="153">
        <f t="shared" si="9"/>
        <v>33</v>
      </c>
      <c r="X130" s="154"/>
      <c r="Y130" s="154"/>
      <c r="Z130" s="155"/>
      <c r="AA130" s="136">
        <f>(W129+W128)/W125*100-$L$2</f>
        <v>-0.22335164835164834</v>
      </c>
      <c r="AB130" s="136"/>
      <c r="AC130" s="136"/>
      <c r="AD130" s="136"/>
      <c r="AE130" s="136"/>
      <c r="AF130" s="136"/>
      <c r="AG130" s="136"/>
      <c r="AH130" s="136"/>
      <c r="AI130" s="136"/>
    </row>
    <row r="131" spans="1:35" ht="12.75">
      <c r="A131" s="144"/>
      <c r="B131" s="125" t="s">
        <v>43</v>
      </c>
      <c r="C131" s="126"/>
      <c r="D131" s="126"/>
      <c r="E131" s="126"/>
      <c r="F131" s="161"/>
      <c r="G131" s="165">
        <f>G129-G130</f>
        <v>0</v>
      </c>
      <c r="H131" s="163"/>
      <c r="I131" s="163"/>
      <c r="J131" s="164"/>
      <c r="K131" s="162">
        <f>K129-K130</f>
        <v>0</v>
      </c>
      <c r="L131" s="163"/>
      <c r="M131" s="163"/>
      <c r="N131" s="164"/>
      <c r="O131" s="275">
        <f>O129-O130</f>
        <v>0</v>
      </c>
      <c r="P131" s="276"/>
      <c r="Q131" s="276"/>
      <c r="R131" s="277"/>
      <c r="S131" s="275">
        <v>0</v>
      </c>
      <c r="T131" s="276"/>
      <c r="U131" s="276"/>
      <c r="V131" s="277"/>
      <c r="W131" s="153">
        <f t="shared" si="9"/>
        <v>0</v>
      </c>
      <c r="X131" s="154"/>
      <c r="Y131" s="154"/>
      <c r="Z131" s="155"/>
      <c r="AA131" s="132">
        <f>AG124*W124/100</f>
        <v>0</v>
      </c>
      <c r="AB131" s="233"/>
      <c r="AC131" s="233"/>
      <c r="AD131" s="233"/>
      <c r="AE131" s="233"/>
      <c r="AF131" s="233"/>
      <c r="AG131" s="233"/>
      <c r="AH131" s="233"/>
      <c r="AI131" s="233"/>
    </row>
    <row r="132" spans="1:26" ht="12.75">
      <c r="A132" s="144"/>
      <c r="B132" s="125" t="s">
        <v>30</v>
      </c>
      <c r="C132" s="126"/>
      <c r="D132" s="126"/>
      <c r="E132" s="126"/>
      <c r="F132" s="161"/>
      <c r="G132" s="156">
        <f>G125/100*$L$2</f>
        <v>54.599999999999994</v>
      </c>
      <c r="H132" s="157"/>
      <c r="I132" s="157"/>
      <c r="J132" s="158"/>
      <c r="K132" s="160">
        <f>K125/100*$L$2</f>
        <v>54.599999999999994</v>
      </c>
      <c r="L132" s="157"/>
      <c r="M132" s="157"/>
      <c r="N132" s="158"/>
      <c r="O132" s="246">
        <f>O125/100*$L$2</f>
        <v>0</v>
      </c>
      <c r="P132" s="247"/>
      <c r="Q132" s="247"/>
      <c r="R132" s="248"/>
      <c r="S132" s="246">
        <f>S125/100*$L$2</f>
        <v>0</v>
      </c>
      <c r="T132" s="247"/>
      <c r="U132" s="247"/>
      <c r="V132" s="248"/>
      <c r="W132" s="153">
        <f t="shared" si="9"/>
        <v>109.19999999999999</v>
      </c>
      <c r="X132" s="154"/>
      <c r="Y132" s="154"/>
      <c r="Z132" s="155"/>
    </row>
    <row r="133" spans="1:26" ht="12.75">
      <c r="A133" s="144"/>
      <c r="B133" s="125" t="s">
        <v>44</v>
      </c>
      <c r="C133" s="126"/>
      <c r="D133" s="126"/>
      <c r="E133" s="126"/>
      <c r="F133" s="161"/>
      <c r="G133" s="156">
        <f>G132-G129-G128</f>
        <v>16.259999999999994</v>
      </c>
      <c r="H133" s="157"/>
      <c r="I133" s="157"/>
      <c r="J133" s="158"/>
      <c r="K133" s="160">
        <f>K132-K129-K128</f>
        <v>16.259999999999994</v>
      </c>
      <c r="L133" s="157"/>
      <c r="M133" s="157"/>
      <c r="N133" s="158"/>
      <c r="O133" s="246">
        <f>O132-O129-O128</f>
        <v>0</v>
      </c>
      <c r="P133" s="247"/>
      <c r="Q133" s="247"/>
      <c r="R133" s="248"/>
      <c r="S133" s="246">
        <f>S132-S129-S128</f>
        <v>0</v>
      </c>
      <c r="T133" s="247"/>
      <c r="U133" s="247"/>
      <c r="V133" s="248"/>
      <c r="W133" s="153">
        <f t="shared" si="9"/>
        <v>32.51999999999999</v>
      </c>
      <c r="X133" s="154"/>
      <c r="Y133" s="154"/>
      <c r="Z133" s="155"/>
    </row>
    <row r="134" spans="1:26" ht="12.75">
      <c r="A134" s="144"/>
      <c r="B134" s="125" t="s">
        <v>45</v>
      </c>
      <c r="C134" s="126"/>
      <c r="D134" s="126"/>
      <c r="E134" s="126"/>
      <c r="F134" s="161"/>
      <c r="G134" s="156">
        <f>G133+G131</f>
        <v>16.259999999999994</v>
      </c>
      <c r="H134" s="157"/>
      <c r="I134" s="157"/>
      <c r="J134" s="158"/>
      <c r="K134" s="160">
        <f>K133+K131</f>
        <v>16.259999999999994</v>
      </c>
      <c r="L134" s="157"/>
      <c r="M134" s="157"/>
      <c r="N134" s="158"/>
      <c r="O134" s="246">
        <f>O133+O131</f>
        <v>0</v>
      </c>
      <c r="P134" s="247"/>
      <c r="Q134" s="247"/>
      <c r="R134" s="248"/>
      <c r="S134" s="246">
        <f>S133+S131</f>
        <v>0</v>
      </c>
      <c r="T134" s="247"/>
      <c r="U134" s="247"/>
      <c r="V134" s="248"/>
      <c r="W134" s="153">
        <f t="shared" si="9"/>
        <v>32.51999999999999</v>
      </c>
      <c r="X134" s="154"/>
      <c r="Y134" s="154"/>
      <c r="Z134" s="155"/>
    </row>
    <row r="135" spans="1:26" ht="12.75">
      <c r="A135" s="144"/>
      <c r="B135" s="194" t="s">
        <v>26</v>
      </c>
      <c r="C135" s="98"/>
      <c r="D135" s="98"/>
      <c r="E135" s="98"/>
      <c r="F135" s="195"/>
      <c r="G135" s="196">
        <f>$AG127/100*$AL$3</f>
        <v>6.503999999999998</v>
      </c>
      <c r="H135" s="197"/>
      <c r="I135" s="197"/>
      <c r="J135" s="198"/>
      <c r="K135" s="196">
        <f>$AG127/100*$AL$4</f>
        <v>6.503999999999998</v>
      </c>
      <c r="L135" s="197"/>
      <c r="M135" s="197"/>
      <c r="N135" s="198"/>
      <c r="O135" s="137">
        <v>0</v>
      </c>
      <c r="P135" s="138"/>
      <c r="Q135" s="138"/>
      <c r="R135" s="139"/>
      <c r="S135" s="137">
        <v>0</v>
      </c>
      <c r="T135" s="138"/>
      <c r="U135" s="138"/>
      <c r="V135" s="139"/>
      <c r="W135" s="153">
        <f t="shared" si="9"/>
        <v>13.007999999999996</v>
      </c>
      <c r="X135" s="154"/>
      <c r="Y135" s="154"/>
      <c r="Z135" s="155"/>
    </row>
    <row r="136" spans="1:26" ht="13.5" thickBot="1">
      <c r="A136" s="144"/>
      <c r="B136" s="191" t="s">
        <v>28</v>
      </c>
      <c r="C136" s="192"/>
      <c r="D136" s="192"/>
      <c r="E136" s="192"/>
      <c r="F136" s="193"/>
      <c r="G136" s="149">
        <f>IF(G135&lt;0,G128,G128+G135)</f>
        <v>28.343999999999998</v>
      </c>
      <c r="H136" s="147"/>
      <c r="I136" s="147"/>
      <c r="J136" s="148"/>
      <c r="K136" s="146">
        <f>IF(K135&lt;0,K128,K128+K135)</f>
        <v>28.343999999999998</v>
      </c>
      <c r="L136" s="147"/>
      <c r="M136" s="147"/>
      <c r="N136" s="148"/>
      <c r="O136" s="255">
        <f>IF(O135&lt;0,O128,O128+O135)</f>
        <v>0</v>
      </c>
      <c r="P136" s="256"/>
      <c r="Q136" s="256"/>
      <c r="R136" s="257"/>
      <c r="S136" s="255">
        <f>IF(S135&lt;0,S128,S128+S135)</f>
        <v>0</v>
      </c>
      <c r="T136" s="256"/>
      <c r="U136" s="256"/>
      <c r="V136" s="257"/>
      <c r="W136" s="150">
        <f t="shared" si="9"/>
        <v>56.687999999999995</v>
      </c>
      <c r="X136" s="151"/>
      <c r="Y136" s="151"/>
      <c r="Z136" s="152"/>
    </row>
    <row r="137" spans="1:35" ht="12.75" customHeight="1">
      <c r="A137" s="143" t="s">
        <v>71</v>
      </c>
      <c r="B137" s="93" t="s">
        <v>23</v>
      </c>
      <c r="C137" s="94"/>
      <c r="D137" s="94"/>
      <c r="E137" s="94"/>
      <c r="F137" s="199"/>
      <c r="G137" s="185">
        <v>7280</v>
      </c>
      <c r="H137" s="183"/>
      <c r="I137" s="183"/>
      <c r="J137" s="184"/>
      <c r="K137" s="182">
        <v>7280</v>
      </c>
      <c r="L137" s="183"/>
      <c r="M137" s="183"/>
      <c r="N137" s="184"/>
      <c r="O137" s="242">
        <v>0</v>
      </c>
      <c r="P137" s="243"/>
      <c r="Q137" s="243"/>
      <c r="R137" s="244"/>
      <c r="S137" s="242">
        <v>0</v>
      </c>
      <c r="T137" s="243"/>
      <c r="U137" s="243"/>
      <c r="V137" s="244"/>
      <c r="W137" s="170">
        <f>SUM(G137:V137)</f>
        <v>14560</v>
      </c>
      <c r="X137" s="171"/>
      <c r="Y137" s="171"/>
      <c r="Z137" s="172"/>
      <c r="AA137" s="236" t="s">
        <v>53</v>
      </c>
      <c r="AB137" s="94"/>
      <c r="AC137" s="94"/>
      <c r="AD137" s="94"/>
      <c r="AE137" s="94"/>
      <c r="AF137" s="94"/>
      <c r="AG137" s="269">
        <v>0</v>
      </c>
      <c r="AH137" s="270"/>
      <c r="AI137" s="271"/>
    </row>
    <row r="138" spans="1:35" ht="12.75">
      <c r="A138" s="144"/>
      <c r="B138" s="125" t="s">
        <v>24</v>
      </c>
      <c r="C138" s="126"/>
      <c r="D138" s="126"/>
      <c r="E138" s="126"/>
      <c r="F138" s="161"/>
      <c r="G138" s="239">
        <v>7280</v>
      </c>
      <c r="H138" s="240"/>
      <c r="I138" s="240"/>
      <c r="J138" s="241"/>
      <c r="K138" s="166">
        <v>7280</v>
      </c>
      <c r="L138" s="167"/>
      <c r="M138" s="167"/>
      <c r="N138" s="168"/>
      <c r="O138" s="239">
        <v>0</v>
      </c>
      <c r="P138" s="240"/>
      <c r="Q138" s="240"/>
      <c r="R138" s="241"/>
      <c r="S138" s="239">
        <v>0</v>
      </c>
      <c r="T138" s="240"/>
      <c r="U138" s="240"/>
      <c r="V138" s="241"/>
      <c r="W138" s="153">
        <f aca="true" t="shared" si="10" ref="W138:W149">G138+K138+O138+S138</f>
        <v>14560</v>
      </c>
      <c r="X138" s="154"/>
      <c r="Y138" s="154"/>
      <c r="Z138" s="155"/>
      <c r="AA138" s="205" t="s">
        <v>54</v>
      </c>
      <c r="AB138" s="126"/>
      <c r="AC138" s="126"/>
      <c r="AD138" s="126"/>
      <c r="AE138" s="126"/>
      <c r="AF138" s="126"/>
      <c r="AG138" s="278">
        <v>0</v>
      </c>
      <c r="AH138" s="278"/>
      <c r="AI138" s="279"/>
    </row>
    <row r="139" spans="1:35" ht="12.75">
      <c r="A139" s="144"/>
      <c r="B139" s="125" t="s">
        <v>29</v>
      </c>
      <c r="C139" s="126"/>
      <c r="D139" s="126"/>
      <c r="E139" s="126"/>
      <c r="F139" s="161"/>
      <c r="G139" s="156">
        <f>G138*$Q$2/100</f>
        <v>21.84</v>
      </c>
      <c r="H139" s="157"/>
      <c r="I139" s="157"/>
      <c r="J139" s="158"/>
      <c r="K139" s="156">
        <f>K138*$Q$2/100</f>
        <v>21.84</v>
      </c>
      <c r="L139" s="157"/>
      <c r="M139" s="157"/>
      <c r="N139" s="158"/>
      <c r="O139" s="156">
        <f>O138*$Q$2/100</f>
        <v>0</v>
      </c>
      <c r="P139" s="157"/>
      <c r="Q139" s="157"/>
      <c r="R139" s="158"/>
      <c r="S139" s="156">
        <f>S138*$Q$2/100</f>
        <v>0</v>
      </c>
      <c r="T139" s="157"/>
      <c r="U139" s="157"/>
      <c r="V139" s="158"/>
      <c r="W139" s="153">
        <f t="shared" si="10"/>
        <v>43.68</v>
      </c>
      <c r="X139" s="154"/>
      <c r="Y139" s="154"/>
      <c r="Z139" s="155"/>
      <c r="AA139" s="205" t="s">
        <v>55</v>
      </c>
      <c r="AB139" s="126"/>
      <c r="AC139" s="126"/>
      <c r="AD139" s="126"/>
      <c r="AE139" s="126"/>
      <c r="AF139" s="126"/>
      <c r="AG139" s="134">
        <f>AG138</f>
        <v>0</v>
      </c>
      <c r="AH139" s="134"/>
      <c r="AI139" s="135"/>
    </row>
    <row r="140" spans="1:35" ht="12.75">
      <c r="A140" s="144"/>
      <c r="B140" s="125" t="s">
        <v>10</v>
      </c>
      <c r="C140" s="126"/>
      <c r="D140" s="126"/>
      <c r="E140" s="126"/>
      <c r="F140" s="161"/>
      <c r="G140" s="169">
        <v>20</v>
      </c>
      <c r="H140" s="167"/>
      <c r="I140" s="167"/>
      <c r="J140" s="168"/>
      <c r="K140" s="166">
        <v>20</v>
      </c>
      <c r="L140" s="167"/>
      <c r="M140" s="167"/>
      <c r="N140" s="168"/>
      <c r="O140" s="239">
        <v>0</v>
      </c>
      <c r="P140" s="240"/>
      <c r="Q140" s="240"/>
      <c r="R140" s="241"/>
      <c r="S140" s="239">
        <v>0</v>
      </c>
      <c r="T140" s="240"/>
      <c r="U140" s="240"/>
      <c r="V140" s="241"/>
      <c r="W140" s="153">
        <f t="shared" si="10"/>
        <v>40</v>
      </c>
      <c r="X140" s="154"/>
      <c r="Y140" s="154"/>
      <c r="Z140" s="155"/>
      <c r="AA140" s="205" t="s">
        <v>56</v>
      </c>
      <c r="AB140" s="126"/>
      <c r="AC140" s="126"/>
      <c r="AD140" s="126"/>
      <c r="AE140" s="126"/>
      <c r="AF140" s="126"/>
      <c r="AG140" s="134">
        <f>W147+AG139</f>
        <v>32.51999999999999</v>
      </c>
      <c r="AH140" s="134"/>
      <c r="AI140" s="135"/>
    </row>
    <row r="141" spans="1:35" ht="13.5" thickBot="1">
      <c r="A141" s="144"/>
      <c r="B141" s="125" t="s">
        <v>58</v>
      </c>
      <c r="C141" s="126"/>
      <c r="D141" s="126"/>
      <c r="E141" s="126"/>
      <c r="F141" s="161"/>
      <c r="G141" s="156">
        <f>IF(G139&lt;G140,G140,G139)</f>
        <v>21.84</v>
      </c>
      <c r="H141" s="157"/>
      <c r="I141" s="157"/>
      <c r="J141" s="158"/>
      <c r="K141" s="160">
        <f>IF(K139&lt;K140,K140,K139)</f>
        <v>21.84</v>
      </c>
      <c r="L141" s="157"/>
      <c r="M141" s="157"/>
      <c r="N141" s="158"/>
      <c r="O141" s="246">
        <f>IF(O139&lt;O140,O140,O139)</f>
        <v>0</v>
      </c>
      <c r="P141" s="247"/>
      <c r="Q141" s="247"/>
      <c r="R141" s="248"/>
      <c r="S141" s="246">
        <f>IF(S139&lt;S140,S140,S139)</f>
        <v>0</v>
      </c>
      <c r="T141" s="247"/>
      <c r="U141" s="247"/>
      <c r="V141" s="248"/>
      <c r="W141" s="153">
        <f t="shared" si="10"/>
        <v>43.68</v>
      </c>
      <c r="X141" s="154"/>
      <c r="Y141" s="154"/>
      <c r="Z141" s="155"/>
      <c r="AA141" s="232" t="s">
        <v>57</v>
      </c>
      <c r="AB141" s="90"/>
      <c r="AC141" s="90"/>
      <c r="AD141" s="90"/>
      <c r="AE141" s="90"/>
      <c r="AF141" s="90"/>
      <c r="AG141" s="91">
        <f>-AG139+AG140-W148</f>
        <v>19.511999999999993</v>
      </c>
      <c r="AH141" s="91"/>
      <c r="AI141" s="85"/>
    </row>
    <row r="142" spans="1:35" ht="13.5" thickBot="1">
      <c r="A142" s="144"/>
      <c r="B142" s="125" t="s">
        <v>41</v>
      </c>
      <c r="C142" s="126"/>
      <c r="D142" s="126"/>
      <c r="E142" s="126"/>
      <c r="F142" s="161"/>
      <c r="G142" s="156">
        <v>16.5</v>
      </c>
      <c r="H142" s="157"/>
      <c r="I142" s="157"/>
      <c r="J142" s="158"/>
      <c r="K142" s="156">
        <v>16.5</v>
      </c>
      <c r="L142" s="157"/>
      <c r="M142" s="157"/>
      <c r="N142" s="158"/>
      <c r="O142" s="246">
        <v>0</v>
      </c>
      <c r="P142" s="247"/>
      <c r="Q142" s="247"/>
      <c r="R142" s="248"/>
      <c r="S142" s="246">
        <v>0</v>
      </c>
      <c r="T142" s="247"/>
      <c r="U142" s="247"/>
      <c r="V142" s="248"/>
      <c r="W142" s="153">
        <f t="shared" si="10"/>
        <v>33</v>
      </c>
      <c r="X142" s="154"/>
      <c r="Y142" s="154"/>
      <c r="Z142" s="155"/>
      <c r="AA142" s="230" t="s">
        <v>59</v>
      </c>
      <c r="AB142" s="231"/>
      <c r="AC142" s="231"/>
      <c r="AD142" s="231"/>
      <c r="AE142" s="231"/>
      <c r="AF142" s="231"/>
      <c r="AG142" s="266">
        <f>AG138+AG141</f>
        <v>19.511999999999993</v>
      </c>
      <c r="AH142" s="267"/>
      <c r="AI142" s="268"/>
    </row>
    <row r="143" spans="1:35" ht="12.75">
      <c r="A143" s="144"/>
      <c r="B143" s="125" t="s">
        <v>42</v>
      </c>
      <c r="C143" s="126"/>
      <c r="D143" s="126"/>
      <c r="E143" s="126"/>
      <c r="F143" s="161"/>
      <c r="G143" s="169">
        <v>16.5</v>
      </c>
      <c r="H143" s="167"/>
      <c r="I143" s="167"/>
      <c r="J143" s="168"/>
      <c r="K143" s="169">
        <v>16.5</v>
      </c>
      <c r="L143" s="167"/>
      <c r="M143" s="167"/>
      <c r="N143" s="168"/>
      <c r="O143" s="239">
        <v>0</v>
      </c>
      <c r="P143" s="240"/>
      <c r="Q143" s="240"/>
      <c r="R143" s="241"/>
      <c r="S143" s="239">
        <v>0</v>
      </c>
      <c r="T143" s="240"/>
      <c r="U143" s="240"/>
      <c r="V143" s="241"/>
      <c r="W143" s="153">
        <f t="shared" si="10"/>
        <v>33</v>
      </c>
      <c r="X143" s="154"/>
      <c r="Y143" s="154"/>
      <c r="Z143" s="155"/>
      <c r="AA143" s="136">
        <f>(W142+W141)/W138*100-$L$2</f>
        <v>-0.22335164835164834</v>
      </c>
      <c r="AB143" s="136"/>
      <c r="AC143" s="136"/>
      <c r="AD143" s="136"/>
      <c r="AE143" s="136"/>
      <c r="AF143" s="136"/>
      <c r="AG143" s="136"/>
      <c r="AH143" s="136"/>
      <c r="AI143" s="136"/>
    </row>
    <row r="144" spans="1:35" ht="12.75">
      <c r="A144" s="144"/>
      <c r="B144" s="125" t="s">
        <v>43</v>
      </c>
      <c r="C144" s="126"/>
      <c r="D144" s="126"/>
      <c r="E144" s="126"/>
      <c r="F144" s="161"/>
      <c r="G144" s="165">
        <f>G142-G143</f>
        <v>0</v>
      </c>
      <c r="H144" s="163"/>
      <c r="I144" s="163"/>
      <c r="J144" s="164"/>
      <c r="K144" s="162">
        <f>K142-K143</f>
        <v>0</v>
      </c>
      <c r="L144" s="163"/>
      <c r="M144" s="163"/>
      <c r="N144" s="164"/>
      <c r="O144" s="275">
        <f>O142-O143</f>
        <v>0</v>
      </c>
      <c r="P144" s="276"/>
      <c r="Q144" s="276"/>
      <c r="R144" s="277"/>
      <c r="S144" s="275">
        <v>0</v>
      </c>
      <c r="T144" s="276"/>
      <c r="U144" s="276"/>
      <c r="V144" s="277"/>
      <c r="W144" s="153">
        <f t="shared" si="10"/>
        <v>0</v>
      </c>
      <c r="X144" s="154"/>
      <c r="Y144" s="154"/>
      <c r="Z144" s="155"/>
      <c r="AA144" s="132">
        <f>AG137*W137/100</f>
        <v>0</v>
      </c>
      <c r="AB144" s="233"/>
      <c r="AC144" s="233"/>
      <c r="AD144" s="233"/>
      <c r="AE144" s="233"/>
      <c r="AF144" s="233"/>
      <c r="AG144" s="233"/>
      <c r="AH144" s="233"/>
      <c r="AI144" s="233"/>
    </row>
    <row r="145" spans="1:26" ht="12.75">
      <c r="A145" s="144"/>
      <c r="B145" s="125" t="s">
        <v>30</v>
      </c>
      <c r="C145" s="126"/>
      <c r="D145" s="126"/>
      <c r="E145" s="126"/>
      <c r="F145" s="161"/>
      <c r="G145" s="156">
        <f>G138/100*$L$2</f>
        <v>54.599999999999994</v>
      </c>
      <c r="H145" s="157"/>
      <c r="I145" s="157"/>
      <c r="J145" s="158"/>
      <c r="K145" s="160">
        <f>K138/100*$L$2</f>
        <v>54.599999999999994</v>
      </c>
      <c r="L145" s="157"/>
      <c r="M145" s="157"/>
      <c r="N145" s="158"/>
      <c r="O145" s="246">
        <f>O138/100*$L$2</f>
        <v>0</v>
      </c>
      <c r="P145" s="247"/>
      <c r="Q145" s="247"/>
      <c r="R145" s="248"/>
      <c r="S145" s="246">
        <f>S138/100*$L$2</f>
        <v>0</v>
      </c>
      <c r="T145" s="247"/>
      <c r="U145" s="247"/>
      <c r="V145" s="248"/>
      <c r="W145" s="153">
        <f t="shared" si="10"/>
        <v>109.19999999999999</v>
      </c>
      <c r="X145" s="154"/>
      <c r="Y145" s="154"/>
      <c r="Z145" s="155"/>
    </row>
    <row r="146" spans="1:26" ht="12.75">
      <c r="A146" s="144"/>
      <c r="B146" s="125" t="s">
        <v>44</v>
      </c>
      <c r="C146" s="126"/>
      <c r="D146" s="126"/>
      <c r="E146" s="126"/>
      <c r="F146" s="161"/>
      <c r="G146" s="156">
        <f>G145-G142-G141</f>
        <v>16.259999999999994</v>
      </c>
      <c r="H146" s="157"/>
      <c r="I146" s="157"/>
      <c r="J146" s="158"/>
      <c r="K146" s="160">
        <f>K145-K142-K141</f>
        <v>16.259999999999994</v>
      </c>
      <c r="L146" s="157"/>
      <c r="M146" s="157"/>
      <c r="N146" s="158"/>
      <c r="O146" s="246">
        <f>O145-O142-O141</f>
        <v>0</v>
      </c>
      <c r="P146" s="247"/>
      <c r="Q146" s="247"/>
      <c r="R146" s="248"/>
      <c r="S146" s="246">
        <f>S145-S142-S141</f>
        <v>0</v>
      </c>
      <c r="T146" s="247"/>
      <c r="U146" s="247"/>
      <c r="V146" s="248"/>
      <c r="W146" s="153">
        <f t="shared" si="10"/>
        <v>32.51999999999999</v>
      </c>
      <c r="X146" s="154"/>
      <c r="Y146" s="154"/>
      <c r="Z146" s="155"/>
    </row>
    <row r="147" spans="1:26" ht="12.75">
      <c r="A147" s="144"/>
      <c r="B147" s="125" t="s">
        <v>45</v>
      </c>
      <c r="C147" s="126"/>
      <c r="D147" s="126"/>
      <c r="E147" s="126"/>
      <c r="F147" s="161"/>
      <c r="G147" s="156">
        <f>G146+G144</f>
        <v>16.259999999999994</v>
      </c>
      <c r="H147" s="157"/>
      <c r="I147" s="157"/>
      <c r="J147" s="158"/>
      <c r="K147" s="160">
        <f>K146+K144</f>
        <v>16.259999999999994</v>
      </c>
      <c r="L147" s="157"/>
      <c r="M147" s="157"/>
      <c r="N147" s="158"/>
      <c r="O147" s="246">
        <f>O146+O144</f>
        <v>0</v>
      </c>
      <c r="P147" s="247"/>
      <c r="Q147" s="247"/>
      <c r="R147" s="248"/>
      <c r="S147" s="246">
        <f>S146+S144</f>
        <v>0</v>
      </c>
      <c r="T147" s="247"/>
      <c r="U147" s="247"/>
      <c r="V147" s="248"/>
      <c r="W147" s="153">
        <f t="shared" si="10"/>
        <v>32.51999999999999</v>
      </c>
      <c r="X147" s="154"/>
      <c r="Y147" s="154"/>
      <c r="Z147" s="155"/>
    </row>
    <row r="148" spans="1:26" ht="12.75">
      <c r="A148" s="144"/>
      <c r="B148" s="194" t="s">
        <v>26</v>
      </c>
      <c r="C148" s="98"/>
      <c r="D148" s="98"/>
      <c r="E148" s="98"/>
      <c r="F148" s="195"/>
      <c r="G148" s="196">
        <f>$AG140/100*$AL$3</f>
        <v>6.503999999999998</v>
      </c>
      <c r="H148" s="197"/>
      <c r="I148" s="197"/>
      <c r="J148" s="198"/>
      <c r="K148" s="196">
        <f>$AG140/100*$AL$4</f>
        <v>6.503999999999998</v>
      </c>
      <c r="L148" s="197"/>
      <c r="M148" s="197"/>
      <c r="N148" s="198"/>
      <c r="O148" s="137">
        <v>0</v>
      </c>
      <c r="P148" s="138"/>
      <c r="Q148" s="138"/>
      <c r="R148" s="139"/>
      <c r="S148" s="137">
        <v>0</v>
      </c>
      <c r="T148" s="138"/>
      <c r="U148" s="138"/>
      <c r="V148" s="139"/>
      <c r="W148" s="153">
        <f t="shared" si="10"/>
        <v>13.007999999999996</v>
      </c>
      <c r="X148" s="154"/>
      <c r="Y148" s="154"/>
      <c r="Z148" s="155"/>
    </row>
    <row r="149" spans="1:26" ht="13.5" thickBot="1">
      <c r="A149" s="145"/>
      <c r="B149" s="191" t="s">
        <v>28</v>
      </c>
      <c r="C149" s="192"/>
      <c r="D149" s="192"/>
      <c r="E149" s="192"/>
      <c r="F149" s="193"/>
      <c r="G149" s="149">
        <f>IF(G148&lt;0,G141,G141+G148)</f>
        <v>28.343999999999998</v>
      </c>
      <c r="H149" s="147"/>
      <c r="I149" s="147"/>
      <c r="J149" s="148"/>
      <c r="K149" s="146">
        <f>IF(K148&lt;0,K141,K141+K148)</f>
        <v>28.343999999999998</v>
      </c>
      <c r="L149" s="147"/>
      <c r="M149" s="147"/>
      <c r="N149" s="148"/>
      <c r="O149" s="255">
        <f>IF(O148&lt;0,O141,O141+O148)</f>
        <v>0</v>
      </c>
      <c r="P149" s="256"/>
      <c r="Q149" s="256"/>
      <c r="R149" s="257"/>
      <c r="S149" s="255">
        <f>IF(S148&lt;0,S141,S141+S148)</f>
        <v>0</v>
      </c>
      <c r="T149" s="256"/>
      <c r="U149" s="256"/>
      <c r="V149" s="257"/>
      <c r="W149" s="150">
        <f t="shared" si="10"/>
        <v>56.687999999999995</v>
      </c>
      <c r="X149" s="151"/>
      <c r="Y149" s="151"/>
      <c r="Z149" s="152"/>
    </row>
  </sheetData>
  <mergeCells count="1081">
    <mergeCell ref="A1:K1"/>
    <mergeCell ref="L1:M1"/>
    <mergeCell ref="N1:P1"/>
    <mergeCell ref="Q1:S1"/>
    <mergeCell ref="T1:V1"/>
    <mergeCell ref="W1:AG1"/>
    <mergeCell ref="AH1:AW1"/>
    <mergeCell ref="AX1:BA1"/>
    <mergeCell ref="A2:K2"/>
    <mergeCell ref="L2:M2"/>
    <mergeCell ref="N2:P2"/>
    <mergeCell ref="Q2:S2"/>
    <mergeCell ref="T2:V2"/>
    <mergeCell ref="W2:AG4"/>
    <mergeCell ref="AH2:AK2"/>
    <mergeCell ref="AL2:AO2"/>
    <mergeCell ref="AP2:AS2"/>
    <mergeCell ref="AT2:AW2"/>
    <mergeCell ref="AX2:BA4"/>
    <mergeCell ref="A3:K3"/>
    <mergeCell ref="L3:M3"/>
    <mergeCell ref="N3:P3"/>
    <mergeCell ref="Q3:S3"/>
    <mergeCell ref="T3:V3"/>
    <mergeCell ref="AH3:AK3"/>
    <mergeCell ref="AL3:AO3"/>
    <mergeCell ref="AP3:AS3"/>
    <mergeCell ref="AT3:AW3"/>
    <mergeCell ref="L4:M4"/>
    <mergeCell ref="N4:P4"/>
    <mergeCell ref="Q4:S4"/>
    <mergeCell ref="T4:V4"/>
    <mergeCell ref="AH4:AK4"/>
    <mergeCell ref="AL4:AO4"/>
    <mergeCell ref="P5:R5"/>
    <mergeCell ref="S5:U5"/>
    <mergeCell ref="V5:X5"/>
    <mergeCell ref="B5:C5"/>
    <mergeCell ref="E5:F5"/>
    <mergeCell ref="G5:I5"/>
    <mergeCell ref="J5:L5"/>
    <mergeCell ref="M5:O5"/>
    <mergeCell ref="AK5:AM5"/>
    <mergeCell ref="AT4:AW4"/>
    <mergeCell ref="AP4:AS4"/>
    <mergeCell ref="AO5:AR5"/>
    <mergeCell ref="AU5:AV5"/>
    <mergeCell ref="A6:F6"/>
    <mergeCell ref="G6:J6"/>
    <mergeCell ref="K6:N6"/>
    <mergeCell ref="O6:R6"/>
    <mergeCell ref="S6:V6"/>
    <mergeCell ref="W6:Z6"/>
    <mergeCell ref="AA6:AI6"/>
    <mergeCell ref="AB5:AD5"/>
    <mergeCell ref="AE5:AG5"/>
    <mergeCell ref="AH5:AJ5"/>
    <mergeCell ref="Y5:AA5"/>
    <mergeCell ref="B7:F7"/>
    <mergeCell ref="G7:J7"/>
    <mergeCell ref="K7:N7"/>
    <mergeCell ref="B10:F10"/>
    <mergeCell ref="G10:J10"/>
    <mergeCell ref="K10:N10"/>
    <mergeCell ref="AG8:AI8"/>
    <mergeCell ref="O7:R7"/>
    <mergeCell ref="S7:V7"/>
    <mergeCell ref="W7:Z7"/>
    <mergeCell ref="AA7:AF7"/>
    <mergeCell ref="AG10:AI10"/>
    <mergeCell ref="AA9:AF9"/>
    <mergeCell ref="AG7:AI7"/>
    <mergeCell ref="B8:F8"/>
    <mergeCell ref="G8:J8"/>
    <mergeCell ref="K8:N8"/>
    <mergeCell ref="O8:R8"/>
    <mergeCell ref="S8:V8"/>
    <mergeCell ref="W8:Z8"/>
    <mergeCell ref="AA8:AF8"/>
    <mergeCell ref="AG9:AI9"/>
    <mergeCell ref="B9:F9"/>
    <mergeCell ref="G9:J9"/>
    <mergeCell ref="K9:N9"/>
    <mergeCell ref="O9:R9"/>
    <mergeCell ref="S9:V9"/>
    <mergeCell ref="W9:Z9"/>
    <mergeCell ref="O10:R10"/>
    <mergeCell ref="S10:V10"/>
    <mergeCell ref="W10:Z10"/>
    <mergeCell ref="AA11:AF11"/>
    <mergeCell ref="AA10:AF10"/>
    <mergeCell ref="AG11:AI11"/>
    <mergeCell ref="B11:F11"/>
    <mergeCell ref="G11:J11"/>
    <mergeCell ref="K11:N11"/>
    <mergeCell ref="O11:R11"/>
    <mergeCell ref="S11:V11"/>
    <mergeCell ref="W11:Z11"/>
    <mergeCell ref="AA14:AI14"/>
    <mergeCell ref="B12:F12"/>
    <mergeCell ref="G12:J12"/>
    <mergeCell ref="K12:N12"/>
    <mergeCell ref="O12:R12"/>
    <mergeCell ref="AA12:AF12"/>
    <mergeCell ref="AG12:AI12"/>
    <mergeCell ref="AA13:AI13"/>
    <mergeCell ref="B13:F13"/>
    <mergeCell ref="G13:J13"/>
    <mergeCell ref="K13:N13"/>
    <mergeCell ref="O13:R13"/>
    <mergeCell ref="S13:V13"/>
    <mergeCell ref="W13:Z13"/>
    <mergeCell ref="S12:V12"/>
    <mergeCell ref="W12:Z12"/>
    <mergeCell ref="S14:V14"/>
    <mergeCell ref="W14:Z14"/>
    <mergeCell ref="S15:V15"/>
    <mergeCell ref="W15:Z15"/>
    <mergeCell ref="B14:F14"/>
    <mergeCell ref="G14:J14"/>
    <mergeCell ref="B15:F15"/>
    <mergeCell ref="G15:J15"/>
    <mergeCell ref="K15:N15"/>
    <mergeCell ref="O15:R15"/>
    <mergeCell ref="K14:N14"/>
    <mergeCell ref="O14:R14"/>
    <mergeCell ref="B16:F16"/>
    <mergeCell ref="G16:J16"/>
    <mergeCell ref="K16:N16"/>
    <mergeCell ref="O16:R16"/>
    <mergeCell ref="S18:V18"/>
    <mergeCell ref="W18:Z18"/>
    <mergeCell ref="B17:F17"/>
    <mergeCell ref="G17:J17"/>
    <mergeCell ref="K17:N17"/>
    <mergeCell ref="O17:R17"/>
    <mergeCell ref="S16:V16"/>
    <mergeCell ref="W16:Z16"/>
    <mergeCell ref="S17:V17"/>
    <mergeCell ref="W17:Z17"/>
    <mergeCell ref="S19:V19"/>
    <mergeCell ref="W19:Z19"/>
    <mergeCell ref="B18:F18"/>
    <mergeCell ref="G18:J18"/>
    <mergeCell ref="B19:F19"/>
    <mergeCell ref="G19:J19"/>
    <mergeCell ref="K19:N19"/>
    <mergeCell ref="O19:R19"/>
    <mergeCell ref="K18:N18"/>
    <mergeCell ref="O18:R18"/>
    <mergeCell ref="A20:A32"/>
    <mergeCell ref="B20:F20"/>
    <mergeCell ref="G20:J20"/>
    <mergeCell ref="K20:N20"/>
    <mergeCell ref="B22:F22"/>
    <mergeCell ref="G22:J22"/>
    <mergeCell ref="K22:N22"/>
    <mergeCell ref="B24:F24"/>
    <mergeCell ref="G24:J24"/>
    <mergeCell ref="K24:N24"/>
    <mergeCell ref="O20:R20"/>
    <mergeCell ref="S20:V20"/>
    <mergeCell ref="W20:Z20"/>
    <mergeCell ref="AA21:AF21"/>
    <mergeCell ref="AG21:AI21"/>
    <mergeCell ref="B21:F21"/>
    <mergeCell ref="G21:J21"/>
    <mergeCell ref="K21:N21"/>
    <mergeCell ref="O21:R21"/>
    <mergeCell ref="S21:V21"/>
    <mergeCell ref="W21:Z21"/>
    <mergeCell ref="AG24:AI24"/>
    <mergeCell ref="O22:R22"/>
    <mergeCell ref="S22:V22"/>
    <mergeCell ref="W22:Z22"/>
    <mergeCell ref="AA23:AF23"/>
    <mergeCell ref="AA22:AF22"/>
    <mergeCell ref="AG22:AI22"/>
    <mergeCell ref="AG23:AI23"/>
    <mergeCell ref="S23:V23"/>
    <mergeCell ref="W23:Z23"/>
    <mergeCell ref="B23:F23"/>
    <mergeCell ref="G23:J23"/>
    <mergeCell ref="K23:N23"/>
    <mergeCell ref="O23:R23"/>
    <mergeCell ref="O24:R24"/>
    <mergeCell ref="S24:V24"/>
    <mergeCell ref="W24:Z24"/>
    <mergeCell ref="AA25:AF25"/>
    <mergeCell ref="AA24:AF24"/>
    <mergeCell ref="AG25:AI25"/>
    <mergeCell ref="B25:F25"/>
    <mergeCell ref="G25:J25"/>
    <mergeCell ref="K25:N25"/>
    <mergeCell ref="O25:R25"/>
    <mergeCell ref="S25:V25"/>
    <mergeCell ref="W25:Z25"/>
    <mergeCell ref="AA27:AI27"/>
    <mergeCell ref="B27:F27"/>
    <mergeCell ref="G27:J27"/>
    <mergeCell ref="K27:N27"/>
    <mergeCell ref="O27:R27"/>
    <mergeCell ref="S27:V27"/>
    <mergeCell ref="W27:Z27"/>
    <mergeCell ref="S28:V28"/>
    <mergeCell ref="W28:Z28"/>
    <mergeCell ref="B28:F28"/>
    <mergeCell ref="G28:J28"/>
    <mergeCell ref="K28:N28"/>
    <mergeCell ref="O28:R28"/>
    <mergeCell ref="B29:F29"/>
    <mergeCell ref="G29:J29"/>
    <mergeCell ref="K29:N29"/>
    <mergeCell ref="O29:R29"/>
    <mergeCell ref="S31:V31"/>
    <mergeCell ref="W31:Z31"/>
    <mergeCell ref="B30:F30"/>
    <mergeCell ref="G30:J30"/>
    <mergeCell ref="K30:N30"/>
    <mergeCell ref="O30:R30"/>
    <mergeCell ref="S29:V29"/>
    <mergeCell ref="W29:Z29"/>
    <mergeCell ref="S30:V30"/>
    <mergeCell ref="W30:Z30"/>
    <mergeCell ref="S32:V32"/>
    <mergeCell ref="W32:Z32"/>
    <mergeCell ref="B31:F31"/>
    <mergeCell ref="G31:J31"/>
    <mergeCell ref="B32:F32"/>
    <mergeCell ref="G32:J32"/>
    <mergeCell ref="K32:N32"/>
    <mergeCell ref="O32:R32"/>
    <mergeCell ref="K31:N31"/>
    <mergeCell ref="O31:R31"/>
    <mergeCell ref="A33:A45"/>
    <mergeCell ref="B33:F33"/>
    <mergeCell ref="G33:J33"/>
    <mergeCell ref="K33:N33"/>
    <mergeCell ref="B35:F35"/>
    <mergeCell ref="G35:J35"/>
    <mergeCell ref="K35:N35"/>
    <mergeCell ref="B37:F37"/>
    <mergeCell ref="G37:J37"/>
    <mergeCell ref="K37:N37"/>
    <mergeCell ref="O33:R33"/>
    <mergeCell ref="S33:V33"/>
    <mergeCell ref="W33:Z33"/>
    <mergeCell ref="AA34:AF34"/>
    <mergeCell ref="AA33:AF33"/>
    <mergeCell ref="S34:V34"/>
    <mergeCell ref="W34:Z34"/>
    <mergeCell ref="AA35:AF35"/>
    <mergeCell ref="AG35:AI35"/>
    <mergeCell ref="B34:F34"/>
    <mergeCell ref="G34:J34"/>
    <mergeCell ref="K34:N34"/>
    <mergeCell ref="O34:R34"/>
    <mergeCell ref="O35:R35"/>
    <mergeCell ref="S35:V35"/>
    <mergeCell ref="W35:Z35"/>
    <mergeCell ref="O37:R37"/>
    <mergeCell ref="S37:V37"/>
    <mergeCell ref="W37:Z37"/>
    <mergeCell ref="AA36:AF36"/>
    <mergeCell ref="S36:V36"/>
    <mergeCell ref="W36:Z36"/>
    <mergeCell ref="AA37:AF37"/>
    <mergeCell ref="B36:F36"/>
    <mergeCell ref="G36:J36"/>
    <mergeCell ref="K36:N36"/>
    <mergeCell ref="O36:R36"/>
    <mergeCell ref="B38:F38"/>
    <mergeCell ref="G38:J38"/>
    <mergeCell ref="K38:N38"/>
    <mergeCell ref="O38:R38"/>
    <mergeCell ref="S38:V38"/>
    <mergeCell ref="W38:Z38"/>
    <mergeCell ref="S39:V39"/>
    <mergeCell ref="W39:Z39"/>
    <mergeCell ref="O40:R40"/>
    <mergeCell ref="S40:V40"/>
    <mergeCell ref="W40:Z40"/>
    <mergeCell ref="G39:J39"/>
    <mergeCell ref="K39:N39"/>
    <mergeCell ref="O39:R39"/>
    <mergeCell ref="B39:F39"/>
    <mergeCell ref="S41:V41"/>
    <mergeCell ref="W41:Z41"/>
    <mergeCell ref="B41:F41"/>
    <mergeCell ref="G41:J41"/>
    <mergeCell ref="K41:N41"/>
    <mergeCell ref="O41:R41"/>
    <mergeCell ref="B40:F40"/>
    <mergeCell ref="G40:J40"/>
    <mergeCell ref="K40:N40"/>
    <mergeCell ref="B42:F42"/>
    <mergeCell ref="G42:J42"/>
    <mergeCell ref="K42:N42"/>
    <mergeCell ref="O42:R42"/>
    <mergeCell ref="S44:V44"/>
    <mergeCell ref="W44:Z44"/>
    <mergeCell ref="B43:F43"/>
    <mergeCell ref="G43:J43"/>
    <mergeCell ref="K43:N43"/>
    <mergeCell ref="O43:R43"/>
    <mergeCell ref="S42:V42"/>
    <mergeCell ref="W42:Z42"/>
    <mergeCell ref="S43:V43"/>
    <mergeCell ref="W43:Z43"/>
    <mergeCell ref="S45:V45"/>
    <mergeCell ref="W45:Z45"/>
    <mergeCell ref="B44:F44"/>
    <mergeCell ref="G44:J44"/>
    <mergeCell ref="B45:F45"/>
    <mergeCell ref="G45:J45"/>
    <mergeCell ref="K45:N45"/>
    <mergeCell ref="O45:R45"/>
    <mergeCell ref="K44:N44"/>
    <mergeCell ref="O44:R44"/>
    <mergeCell ref="A46:A58"/>
    <mergeCell ref="B46:F46"/>
    <mergeCell ref="G46:J46"/>
    <mergeCell ref="K46:N46"/>
    <mergeCell ref="B48:F48"/>
    <mergeCell ref="G48:J48"/>
    <mergeCell ref="K48:N48"/>
    <mergeCell ref="B50:F50"/>
    <mergeCell ref="G50:J50"/>
    <mergeCell ref="K50:N50"/>
    <mergeCell ref="AG47:AI47"/>
    <mergeCell ref="S47:V47"/>
    <mergeCell ref="W47:Z47"/>
    <mergeCell ref="O48:R48"/>
    <mergeCell ref="S48:V48"/>
    <mergeCell ref="W48:Z48"/>
    <mergeCell ref="O46:R46"/>
    <mergeCell ref="S46:V46"/>
    <mergeCell ref="W46:Z46"/>
    <mergeCell ref="AA47:AF47"/>
    <mergeCell ref="B47:F47"/>
    <mergeCell ref="G47:J47"/>
    <mergeCell ref="K47:N47"/>
    <mergeCell ref="O47:R47"/>
    <mergeCell ref="AA49:AF49"/>
    <mergeCell ref="AA48:AF48"/>
    <mergeCell ref="AG49:AI49"/>
    <mergeCell ref="AG48:AI48"/>
    <mergeCell ref="B49:F49"/>
    <mergeCell ref="G49:J49"/>
    <mergeCell ref="K49:N49"/>
    <mergeCell ref="O49:R49"/>
    <mergeCell ref="S49:V49"/>
    <mergeCell ref="W49:Z49"/>
    <mergeCell ref="AA52:AI52"/>
    <mergeCell ref="O50:R50"/>
    <mergeCell ref="S50:V50"/>
    <mergeCell ref="W50:Z50"/>
    <mergeCell ref="AA51:AF51"/>
    <mergeCell ref="AA50:AF50"/>
    <mergeCell ref="AG50:AI50"/>
    <mergeCell ref="AG51:AI51"/>
    <mergeCell ref="S51:V51"/>
    <mergeCell ref="W51:Z51"/>
    <mergeCell ref="B52:F52"/>
    <mergeCell ref="G52:J52"/>
    <mergeCell ref="K52:N52"/>
    <mergeCell ref="O52:R52"/>
    <mergeCell ref="B51:F51"/>
    <mergeCell ref="G51:J51"/>
    <mergeCell ref="K51:N51"/>
    <mergeCell ref="O51:R51"/>
    <mergeCell ref="AA53:AI53"/>
    <mergeCell ref="B53:F53"/>
    <mergeCell ref="G53:J53"/>
    <mergeCell ref="K53:N53"/>
    <mergeCell ref="O53:R53"/>
    <mergeCell ref="S53:V53"/>
    <mergeCell ref="W53:Z53"/>
    <mergeCell ref="S52:V52"/>
    <mergeCell ref="W52:Z52"/>
    <mergeCell ref="S54:V54"/>
    <mergeCell ref="W54:Z54"/>
    <mergeCell ref="S55:V55"/>
    <mergeCell ref="W55:Z55"/>
    <mergeCell ref="B54:F54"/>
    <mergeCell ref="G54:J54"/>
    <mergeCell ref="B55:F55"/>
    <mergeCell ref="G55:J55"/>
    <mergeCell ref="K55:N55"/>
    <mergeCell ref="O55:R55"/>
    <mergeCell ref="K54:N54"/>
    <mergeCell ref="O54:R54"/>
    <mergeCell ref="B56:F56"/>
    <mergeCell ref="G56:J56"/>
    <mergeCell ref="K56:N56"/>
    <mergeCell ref="O56:R56"/>
    <mergeCell ref="S56:V56"/>
    <mergeCell ref="W56:Z56"/>
    <mergeCell ref="S57:V57"/>
    <mergeCell ref="W57:Z57"/>
    <mergeCell ref="S58:V58"/>
    <mergeCell ref="W58:Z58"/>
    <mergeCell ref="B57:F57"/>
    <mergeCell ref="G57:J57"/>
    <mergeCell ref="B58:F58"/>
    <mergeCell ref="G58:J58"/>
    <mergeCell ref="K58:N58"/>
    <mergeCell ref="O58:R58"/>
    <mergeCell ref="K57:N57"/>
    <mergeCell ref="O57:R57"/>
    <mergeCell ref="A59:A71"/>
    <mergeCell ref="B59:F59"/>
    <mergeCell ref="G59:J59"/>
    <mergeCell ref="K59:N59"/>
    <mergeCell ref="B61:F61"/>
    <mergeCell ref="G61:J61"/>
    <mergeCell ref="K61:N61"/>
    <mergeCell ref="B63:F63"/>
    <mergeCell ref="G63:J63"/>
    <mergeCell ref="K63:N63"/>
    <mergeCell ref="O59:R59"/>
    <mergeCell ref="S59:V59"/>
    <mergeCell ref="W59:Z59"/>
    <mergeCell ref="AA60:AF60"/>
    <mergeCell ref="AA59:AF59"/>
    <mergeCell ref="S60:V60"/>
    <mergeCell ref="W60:Z60"/>
    <mergeCell ref="AA61:AF61"/>
    <mergeCell ref="AG61:AI61"/>
    <mergeCell ref="B60:F60"/>
    <mergeCell ref="G60:J60"/>
    <mergeCell ref="K60:N60"/>
    <mergeCell ref="O60:R60"/>
    <mergeCell ref="O61:R61"/>
    <mergeCell ref="S61:V61"/>
    <mergeCell ref="W61:Z61"/>
    <mergeCell ref="AA62:AF62"/>
    <mergeCell ref="S62:V62"/>
    <mergeCell ref="W62:Z62"/>
    <mergeCell ref="AA63:AF63"/>
    <mergeCell ref="B62:F62"/>
    <mergeCell ref="G62:J62"/>
    <mergeCell ref="K62:N62"/>
    <mergeCell ref="O62:R62"/>
    <mergeCell ref="S64:V64"/>
    <mergeCell ref="W64:Z64"/>
    <mergeCell ref="O63:R63"/>
    <mergeCell ref="S63:V63"/>
    <mergeCell ref="W63:Z63"/>
    <mergeCell ref="B64:F64"/>
    <mergeCell ref="G64:J64"/>
    <mergeCell ref="K64:N64"/>
    <mergeCell ref="O64:R64"/>
    <mergeCell ref="B65:F65"/>
    <mergeCell ref="G65:J65"/>
    <mergeCell ref="K65:N65"/>
    <mergeCell ref="O65:R65"/>
    <mergeCell ref="S67:V67"/>
    <mergeCell ref="W67:Z67"/>
    <mergeCell ref="B66:F66"/>
    <mergeCell ref="G66:J66"/>
    <mergeCell ref="K66:N66"/>
    <mergeCell ref="O66:R66"/>
    <mergeCell ref="S65:V65"/>
    <mergeCell ref="W65:Z65"/>
    <mergeCell ref="S66:V66"/>
    <mergeCell ref="W66:Z66"/>
    <mergeCell ref="S68:V68"/>
    <mergeCell ref="W68:Z68"/>
    <mergeCell ref="B67:F67"/>
    <mergeCell ref="G67:J67"/>
    <mergeCell ref="B68:F68"/>
    <mergeCell ref="G68:J68"/>
    <mergeCell ref="K68:N68"/>
    <mergeCell ref="O68:R68"/>
    <mergeCell ref="K67:N67"/>
    <mergeCell ref="O67:R67"/>
    <mergeCell ref="B69:F69"/>
    <mergeCell ref="G69:J69"/>
    <mergeCell ref="K69:N69"/>
    <mergeCell ref="O69:R69"/>
    <mergeCell ref="S69:V69"/>
    <mergeCell ref="W69:Z69"/>
    <mergeCell ref="S70:V70"/>
    <mergeCell ref="W70:Z70"/>
    <mergeCell ref="S71:V71"/>
    <mergeCell ref="W71:Z71"/>
    <mergeCell ref="B70:F70"/>
    <mergeCell ref="G70:J70"/>
    <mergeCell ref="B71:F71"/>
    <mergeCell ref="G71:J71"/>
    <mergeCell ref="K71:N71"/>
    <mergeCell ref="O71:R71"/>
    <mergeCell ref="K70:N70"/>
    <mergeCell ref="O70:R70"/>
    <mergeCell ref="A72:A84"/>
    <mergeCell ref="B72:F72"/>
    <mergeCell ref="G72:J72"/>
    <mergeCell ref="K72:N72"/>
    <mergeCell ref="B74:F74"/>
    <mergeCell ref="G74:J74"/>
    <mergeCell ref="K74:N74"/>
    <mergeCell ref="B76:F76"/>
    <mergeCell ref="G76:J76"/>
    <mergeCell ref="K76:N76"/>
    <mergeCell ref="O72:R72"/>
    <mergeCell ref="S72:V72"/>
    <mergeCell ref="W72:Z72"/>
    <mergeCell ref="AA73:AF73"/>
    <mergeCell ref="AG73:AI73"/>
    <mergeCell ref="B73:F73"/>
    <mergeCell ref="G73:J73"/>
    <mergeCell ref="K73:N73"/>
    <mergeCell ref="O73:R73"/>
    <mergeCell ref="S73:V73"/>
    <mergeCell ref="W73:Z73"/>
    <mergeCell ref="AG76:AI76"/>
    <mergeCell ref="O74:R74"/>
    <mergeCell ref="S74:V74"/>
    <mergeCell ref="W74:Z74"/>
    <mergeCell ref="AA75:AF75"/>
    <mergeCell ref="AA74:AF74"/>
    <mergeCell ref="AG74:AI74"/>
    <mergeCell ref="AG75:AI75"/>
    <mergeCell ref="S75:V75"/>
    <mergeCell ref="W75:Z75"/>
    <mergeCell ref="B75:F75"/>
    <mergeCell ref="G75:J75"/>
    <mergeCell ref="K75:N75"/>
    <mergeCell ref="O75:R75"/>
    <mergeCell ref="O76:R76"/>
    <mergeCell ref="S76:V76"/>
    <mergeCell ref="W76:Z76"/>
    <mergeCell ref="AA77:AF77"/>
    <mergeCell ref="AA76:AF76"/>
    <mergeCell ref="B77:F77"/>
    <mergeCell ref="G77:J77"/>
    <mergeCell ref="K77:N77"/>
    <mergeCell ref="O77:R77"/>
    <mergeCell ref="AG77:AI77"/>
    <mergeCell ref="S77:V77"/>
    <mergeCell ref="W77:Z77"/>
    <mergeCell ref="AA78:AI78"/>
    <mergeCell ref="S78:V78"/>
    <mergeCell ref="W78:Z78"/>
    <mergeCell ref="AA79:AI79"/>
    <mergeCell ref="B79:F79"/>
    <mergeCell ref="G79:J79"/>
    <mergeCell ref="K79:N79"/>
    <mergeCell ref="O79:R79"/>
    <mergeCell ref="S79:V79"/>
    <mergeCell ref="W79:Z79"/>
    <mergeCell ref="B78:F78"/>
    <mergeCell ref="S80:V80"/>
    <mergeCell ref="W80:Z80"/>
    <mergeCell ref="B80:F80"/>
    <mergeCell ref="G80:J80"/>
    <mergeCell ref="K80:N80"/>
    <mergeCell ref="O80:R80"/>
    <mergeCell ref="G78:J78"/>
    <mergeCell ref="K78:N78"/>
    <mergeCell ref="O78:R78"/>
    <mergeCell ref="B81:F81"/>
    <mergeCell ref="G81:J81"/>
    <mergeCell ref="K81:N81"/>
    <mergeCell ref="O81:R81"/>
    <mergeCell ref="S83:V83"/>
    <mergeCell ref="W83:Z83"/>
    <mergeCell ref="B82:F82"/>
    <mergeCell ref="G82:J82"/>
    <mergeCell ref="K82:N82"/>
    <mergeCell ref="O82:R82"/>
    <mergeCell ref="S81:V81"/>
    <mergeCell ref="W81:Z81"/>
    <mergeCell ref="S82:V82"/>
    <mergeCell ref="W82:Z82"/>
    <mergeCell ref="S84:V84"/>
    <mergeCell ref="W84:Z84"/>
    <mergeCell ref="B83:F83"/>
    <mergeCell ref="G83:J83"/>
    <mergeCell ref="B84:F84"/>
    <mergeCell ref="G84:J84"/>
    <mergeCell ref="K84:N84"/>
    <mergeCell ref="O84:R84"/>
    <mergeCell ref="K83:N83"/>
    <mergeCell ref="O83:R83"/>
    <mergeCell ref="A85:A97"/>
    <mergeCell ref="B85:F85"/>
    <mergeCell ref="G85:J85"/>
    <mergeCell ref="K85:N85"/>
    <mergeCell ref="B87:F87"/>
    <mergeCell ref="G87:J87"/>
    <mergeCell ref="K87:N87"/>
    <mergeCell ref="B89:F89"/>
    <mergeCell ref="G89:J89"/>
    <mergeCell ref="K89:N89"/>
    <mergeCell ref="O85:R85"/>
    <mergeCell ref="S85:V85"/>
    <mergeCell ref="W85:Z85"/>
    <mergeCell ref="AA86:AF86"/>
    <mergeCell ref="AA85:AF85"/>
    <mergeCell ref="S86:V86"/>
    <mergeCell ref="W86:Z86"/>
    <mergeCell ref="AA87:AF87"/>
    <mergeCell ref="AG87:AI87"/>
    <mergeCell ref="B86:F86"/>
    <mergeCell ref="G86:J86"/>
    <mergeCell ref="K86:N86"/>
    <mergeCell ref="O86:R86"/>
    <mergeCell ref="O87:R87"/>
    <mergeCell ref="S87:V87"/>
    <mergeCell ref="W87:Z87"/>
    <mergeCell ref="AA88:AF88"/>
    <mergeCell ref="S88:V88"/>
    <mergeCell ref="W88:Z88"/>
    <mergeCell ref="AA89:AF89"/>
    <mergeCell ref="B88:F88"/>
    <mergeCell ref="G88:J88"/>
    <mergeCell ref="K88:N88"/>
    <mergeCell ref="O88:R88"/>
    <mergeCell ref="S90:V90"/>
    <mergeCell ref="W90:Z90"/>
    <mergeCell ref="O89:R89"/>
    <mergeCell ref="S89:V89"/>
    <mergeCell ref="W89:Z89"/>
    <mergeCell ref="B90:F90"/>
    <mergeCell ref="G90:J90"/>
    <mergeCell ref="K90:N90"/>
    <mergeCell ref="O90:R90"/>
    <mergeCell ref="B91:F91"/>
    <mergeCell ref="G91:J91"/>
    <mergeCell ref="K91:N91"/>
    <mergeCell ref="O91:R91"/>
    <mergeCell ref="S93:V93"/>
    <mergeCell ref="W93:Z93"/>
    <mergeCell ref="B92:F92"/>
    <mergeCell ref="G92:J92"/>
    <mergeCell ref="K92:N92"/>
    <mergeCell ref="O92:R92"/>
    <mergeCell ref="S91:V91"/>
    <mergeCell ref="W91:Z91"/>
    <mergeCell ref="S92:V92"/>
    <mergeCell ref="W92:Z92"/>
    <mergeCell ref="S94:V94"/>
    <mergeCell ref="W94:Z94"/>
    <mergeCell ref="B93:F93"/>
    <mergeCell ref="G93:J93"/>
    <mergeCell ref="B94:F94"/>
    <mergeCell ref="G94:J94"/>
    <mergeCell ref="K94:N94"/>
    <mergeCell ref="O94:R94"/>
    <mergeCell ref="K93:N93"/>
    <mergeCell ref="O93:R93"/>
    <mergeCell ref="B95:F95"/>
    <mergeCell ref="G95:J95"/>
    <mergeCell ref="K95:N95"/>
    <mergeCell ref="O95:R95"/>
    <mergeCell ref="S95:V95"/>
    <mergeCell ref="W95:Z95"/>
    <mergeCell ref="S96:V96"/>
    <mergeCell ref="W96:Z96"/>
    <mergeCell ref="S97:V97"/>
    <mergeCell ref="W97:Z97"/>
    <mergeCell ref="B96:F96"/>
    <mergeCell ref="G96:J96"/>
    <mergeCell ref="B97:F97"/>
    <mergeCell ref="G97:J97"/>
    <mergeCell ref="K97:N97"/>
    <mergeCell ref="O97:R97"/>
    <mergeCell ref="K96:N96"/>
    <mergeCell ref="O96:R96"/>
    <mergeCell ref="A98:A110"/>
    <mergeCell ref="B98:F98"/>
    <mergeCell ref="G98:J98"/>
    <mergeCell ref="K98:N98"/>
    <mergeCell ref="B100:F100"/>
    <mergeCell ref="G100:J100"/>
    <mergeCell ref="K100:N100"/>
    <mergeCell ref="B102:F102"/>
    <mergeCell ref="G102:J102"/>
    <mergeCell ref="K102:N102"/>
    <mergeCell ref="AG99:AI99"/>
    <mergeCell ref="S99:V99"/>
    <mergeCell ref="W99:Z99"/>
    <mergeCell ref="O100:R100"/>
    <mergeCell ref="S100:V100"/>
    <mergeCell ref="W100:Z100"/>
    <mergeCell ref="O98:R98"/>
    <mergeCell ref="S98:V98"/>
    <mergeCell ref="W98:Z98"/>
    <mergeCell ref="AA99:AF99"/>
    <mergeCell ref="B99:F99"/>
    <mergeCell ref="G99:J99"/>
    <mergeCell ref="K99:N99"/>
    <mergeCell ref="O99:R99"/>
    <mergeCell ref="AA101:AF101"/>
    <mergeCell ref="AA100:AF100"/>
    <mergeCell ref="AG101:AI101"/>
    <mergeCell ref="AG100:AI100"/>
    <mergeCell ref="B101:F101"/>
    <mergeCell ref="G101:J101"/>
    <mergeCell ref="K101:N101"/>
    <mergeCell ref="O101:R101"/>
    <mergeCell ref="S101:V101"/>
    <mergeCell ref="W101:Z101"/>
    <mergeCell ref="AA104:AI104"/>
    <mergeCell ref="O102:R102"/>
    <mergeCell ref="S102:V102"/>
    <mergeCell ref="W102:Z102"/>
    <mergeCell ref="AA103:AF103"/>
    <mergeCell ref="AA102:AF102"/>
    <mergeCell ref="AG102:AI102"/>
    <mergeCell ref="AG103:AI103"/>
    <mergeCell ref="S103:V103"/>
    <mergeCell ref="W103:Z103"/>
    <mergeCell ref="B104:F104"/>
    <mergeCell ref="G104:J104"/>
    <mergeCell ref="K104:N104"/>
    <mergeCell ref="O104:R104"/>
    <mergeCell ref="B103:F103"/>
    <mergeCell ref="G103:J103"/>
    <mergeCell ref="K103:N103"/>
    <mergeCell ref="O103:R103"/>
    <mergeCell ref="AA105:AI105"/>
    <mergeCell ref="B105:F105"/>
    <mergeCell ref="G105:J105"/>
    <mergeCell ref="K105:N105"/>
    <mergeCell ref="O105:R105"/>
    <mergeCell ref="S105:V105"/>
    <mergeCell ref="W105:Z105"/>
    <mergeCell ref="S104:V104"/>
    <mergeCell ref="W104:Z104"/>
    <mergeCell ref="S106:V106"/>
    <mergeCell ref="W106:Z106"/>
    <mergeCell ref="S107:V107"/>
    <mergeCell ref="W107:Z107"/>
    <mergeCell ref="B106:F106"/>
    <mergeCell ref="G106:J106"/>
    <mergeCell ref="B107:F107"/>
    <mergeCell ref="G107:J107"/>
    <mergeCell ref="K107:N107"/>
    <mergeCell ref="O107:R107"/>
    <mergeCell ref="K106:N106"/>
    <mergeCell ref="O106:R106"/>
    <mergeCell ref="B108:F108"/>
    <mergeCell ref="G108:J108"/>
    <mergeCell ref="K108:N108"/>
    <mergeCell ref="O108:R108"/>
    <mergeCell ref="S108:V108"/>
    <mergeCell ref="W108:Z108"/>
    <mergeCell ref="S109:V109"/>
    <mergeCell ref="W109:Z109"/>
    <mergeCell ref="S110:V110"/>
    <mergeCell ref="W110:Z110"/>
    <mergeCell ref="B109:F109"/>
    <mergeCell ref="G109:J109"/>
    <mergeCell ref="B110:F110"/>
    <mergeCell ref="G110:J110"/>
    <mergeCell ref="K110:N110"/>
    <mergeCell ref="O110:R110"/>
    <mergeCell ref="K109:N109"/>
    <mergeCell ref="O109:R109"/>
    <mergeCell ref="A111:A123"/>
    <mergeCell ref="B111:F111"/>
    <mergeCell ref="G111:J111"/>
    <mergeCell ref="K111:N111"/>
    <mergeCell ref="B113:F113"/>
    <mergeCell ref="G113:J113"/>
    <mergeCell ref="K113:N113"/>
    <mergeCell ref="B115:F115"/>
    <mergeCell ref="G115:J115"/>
    <mergeCell ref="K115:N115"/>
    <mergeCell ref="O111:R111"/>
    <mergeCell ref="S111:V111"/>
    <mergeCell ref="W111:Z111"/>
    <mergeCell ref="AA112:AF112"/>
    <mergeCell ref="AA111:AF111"/>
    <mergeCell ref="AG112:AI112"/>
    <mergeCell ref="B112:F112"/>
    <mergeCell ref="G112:J112"/>
    <mergeCell ref="K112:N112"/>
    <mergeCell ref="O112:R112"/>
    <mergeCell ref="S112:V112"/>
    <mergeCell ref="W112:Z112"/>
    <mergeCell ref="AG115:AI115"/>
    <mergeCell ref="O113:R113"/>
    <mergeCell ref="S113:V113"/>
    <mergeCell ref="W113:Z113"/>
    <mergeCell ref="AA114:AF114"/>
    <mergeCell ref="AA113:AF113"/>
    <mergeCell ref="AG113:AI113"/>
    <mergeCell ref="AG114:AI114"/>
    <mergeCell ref="S114:V114"/>
    <mergeCell ref="W114:Z114"/>
    <mergeCell ref="B114:F114"/>
    <mergeCell ref="G114:J114"/>
    <mergeCell ref="K114:N114"/>
    <mergeCell ref="O114:R114"/>
    <mergeCell ref="O115:R115"/>
    <mergeCell ref="S115:V115"/>
    <mergeCell ref="W115:Z115"/>
    <mergeCell ref="AA116:AF116"/>
    <mergeCell ref="AA115:AF115"/>
    <mergeCell ref="AG116:AI116"/>
    <mergeCell ref="B116:F116"/>
    <mergeCell ref="G116:J116"/>
    <mergeCell ref="K116:N116"/>
    <mergeCell ref="O116:R116"/>
    <mergeCell ref="S116:V116"/>
    <mergeCell ref="W116:Z116"/>
    <mergeCell ref="B117:F117"/>
    <mergeCell ref="G117:J117"/>
    <mergeCell ref="K117:N117"/>
    <mergeCell ref="O117:R117"/>
    <mergeCell ref="AA118:AI118"/>
    <mergeCell ref="B118:F118"/>
    <mergeCell ref="G118:J118"/>
    <mergeCell ref="K118:N118"/>
    <mergeCell ref="O118:R118"/>
    <mergeCell ref="S118:V118"/>
    <mergeCell ref="W118:Z118"/>
    <mergeCell ref="S117:V117"/>
    <mergeCell ref="W117:Z117"/>
    <mergeCell ref="S119:V119"/>
    <mergeCell ref="W119:Z119"/>
    <mergeCell ref="S120:V120"/>
    <mergeCell ref="W120:Z120"/>
    <mergeCell ref="B119:F119"/>
    <mergeCell ref="G119:J119"/>
    <mergeCell ref="B120:F120"/>
    <mergeCell ref="G120:J120"/>
    <mergeCell ref="K120:N120"/>
    <mergeCell ref="O120:R120"/>
    <mergeCell ref="K119:N119"/>
    <mergeCell ref="O119:R119"/>
    <mergeCell ref="B121:F121"/>
    <mergeCell ref="G121:J121"/>
    <mergeCell ref="K121:N121"/>
    <mergeCell ref="O121:R121"/>
    <mergeCell ref="S121:V121"/>
    <mergeCell ref="W121:Z121"/>
    <mergeCell ref="S122:V122"/>
    <mergeCell ref="W122:Z122"/>
    <mergeCell ref="S123:V123"/>
    <mergeCell ref="W123:Z123"/>
    <mergeCell ref="B122:F122"/>
    <mergeCell ref="G122:J122"/>
    <mergeCell ref="B123:F123"/>
    <mergeCell ref="G123:J123"/>
    <mergeCell ref="K123:N123"/>
    <mergeCell ref="O123:R123"/>
    <mergeCell ref="K122:N122"/>
    <mergeCell ref="O122:R122"/>
    <mergeCell ref="A124:A136"/>
    <mergeCell ref="B124:F124"/>
    <mergeCell ref="G124:J124"/>
    <mergeCell ref="K124:N124"/>
    <mergeCell ref="B126:F126"/>
    <mergeCell ref="G126:J126"/>
    <mergeCell ref="K126:N126"/>
    <mergeCell ref="B128:F128"/>
    <mergeCell ref="G128:J128"/>
    <mergeCell ref="K128:N128"/>
    <mergeCell ref="AG125:AI125"/>
    <mergeCell ref="S125:V125"/>
    <mergeCell ref="W125:Z125"/>
    <mergeCell ref="O126:R126"/>
    <mergeCell ref="S126:V126"/>
    <mergeCell ref="W126:Z126"/>
    <mergeCell ref="O124:R124"/>
    <mergeCell ref="S124:V124"/>
    <mergeCell ref="W124:Z124"/>
    <mergeCell ref="AA125:AF125"/>
    <mergeCell ref="B125:F125"/>
    <mergeCell ref="G125:J125"/>
    <mergeCell ref="K125:N125"/>
    <mergeCell ref="O125:R125"/>
    <mergeCell ref="AA127:AF127"/>
    <mergeCell ref="AA126:AF126"/>
    <mergeCell ref="AG127:AI127"/>
    <mergeCell ref="AG126:AI126"/>
    <mergeCell ref="B127:F127"/>
    <mergeCell ref="G127:J127"/>
    <mergeCell ref="K127:N127"/>
    <mergeCell ref="O127:R127"/>
    <mergeCell ref="S127:V127"/>
    <mergeCell ref="W127:Z127"/>
    <mergeCell ref="AA130:AI130"/>
    <mergeCell ref="O128:R128"/>
    <mergeCell ref="S128:V128"/>
    <mergeCell ref="W128:Z128"/>
    <mergeCell ref="AA129:AF129"/>
    <mergeCell ref="AA128:AF128"/>
    <mergeCell ref="AG128:AI128"/>
    <mergeCell ref="AG129:AI129"/>
    <mergeCell ref="S129:V129"/>
    <mergeCell ref="W129:Z129"/>
    <mergeCell ref="B130:F130"/>
    <mergeCell ref="G130:J130"/>
    <mergeCell ref="K130:N130"/>
    <mergeCell ref="O130:R130"/>
    <mergeCell ref="B129:F129"/>
    <mergeCell ref="G129:J129"/>
    <mergeCell ref="K129:N129"/>
    <mergeCell ref="O129:R129"/>
    <mergeCell ref="AA131:AI131"/>
    <mergeCell ref="B131:F131"/>
    <mergeCell ref="G131:J131"/>
    <mergeCell ref="K131:N131"/>
    <mergeCell ref="O131:R131"/>
    <mergeCell ref="S131:V131"/>
    <mergeCell ref="W131:Z131"/>
    <mergeCell ref="S130:V130"/>
    <mergeCell ref="W130:Z130"/>
    <mergeCell ref="S132:V132"/>
    <mergeCell ref="W132:Z132"/>
    <mergeCell ref="S133:V133"/>
    <mergeCell ref="W133:Z133"/>
    <mergeCell ref="B132:F132"/>
    <mergeCell ref="G132:J132"/>
    <mergeCell ref="B133:F133"/>
    <mergeCell ref="G133:J133"/>
    <mergeCell ref="K133:N133"/>
    <mergeCell ref="O133:R133"/>
    <mergeCell ref="K132:N132"/>
    <mergeCell ref="O132:R132"/>
    <mergeCell ref="B134:F134"/>
    <mergeCell ref="G134:J134"/>
    <mergeCell ref="K134:N134"/>
    <mergeCell ref="O134:R134"/>
    <mergeCell ref="S134:V134"/>
    <mergeCell ref="W134:Z134"/>
    <mergeCell ref="S135:V135"/>
    <mergeCell ref="W135:Z135"/>
    <mergeCell ref="S136:V136"/>
    <mergeCell ref="W136:Z136"/>
    <mergeCell ref="B135:F135"/>
    <mergeCell ref="G135:J135"/>
    <mergeCell ref="B136:F136"/>
    <mergeCell ref="G136:J136"/>
    <mergeCell ref="K136:N136"/>
    <mergeCell ref="O136:R136"/>
    <mergeCell ref="K135:N135"/>
    <mergeCell ref="O135:R135"/>
    <mergeCell ref="A137:A149"/>
    <mergeCell ref="B137:F137"/>
    <mergeCell ref="G137:J137"/>
    <mergeCell ref="K137:N137"/>
    <mergeCell ref="B139:F139"/>
    <mergeCell ref="G139:J139"/>
    <mergeCell ref="K139:N139"/>
    <mergeCell ref="B141:F141"/>
    <mergeCell ref="G141:J141"/>
    <mergeCell ref="K141:N141"/>
    <mergeCell ref="O137:R137"/>
    <mergeCell ref="S137:V137"/>
    <mergeCell ref="W137:Z137"/>
    <mergeCell ref="AA138:AF138"/>
    <mergeCell ref="AA137:AF137"/>
    <mergeCell ref="S138:V138"/>
    <mergeCell ref="W138:Z138"/>
    <mergeCell ref="AA139:AF139"/>
    <mergeCell ref="AG139:AI139"/>
    <mergeCell ref="B138:F138"/>
    <mergeCell ref="G138:J138"/>
    <mergeCell ref="K138:N138"/>
    <mergeCell ref="O138:R138"/>
    <mergeCell ref="O139:R139"/>
    <mergeCell ref="S139:V139"/>
    <mergeCell ref="W139:Z139"/>
    <mergeCell ref="AG141:AI141"/>
    <mergeCell ref="B140:F140"/>
    <mergeCell ref="G140:J140"/>
    <mergeCell ref="K140:N140"/>
    <mergeCell ref="O140:R140"/>
    <mergeCell ref="AA140:AF140"/>
    <mergeCell ref="S140:V140"/>
    <mergeCell ref="W140:Z140"/>
    <mergeCell ref="AA141:AF141"/>
    <mergeCell ref="S142:V142"/>
    <mergeCell ref="W142:Z142"/>
    <mergeCell ref="O141:R141"/>
    <mergeCell ref="S141:V141"/>
    <mergeCell ref="W141:Z141"/>
    <mergeCell ref="B142:F142"/>
    <mergeCell ref="G142:J142"/>
    <mergeCell ref="K142:N142"/>
    <mergeCell ref="O142:R142"/>
    <mergeCell ref="B143:F143"/>
    <mergeCell ref="G143:J143"/>
    <mergeCell ref="K143:N143"/>
    <mergeCell ref="O143:R143"/>
    <mergeCell ref="AA144:AI144"/>
    <mergeCell ref="B144:F144"/>
    <mergeCell ref="G144:J144"/>
    <mergeCell ref="K144:N144"/>
    <mergeCell ref="O144:R144"/>
    <mergeCell ref="S144:V144"/>
    <mergeCell ref="W144:Z144"/>
    <mergeCell ref="S143:V143"/>
    <mergeCell ref="W143:Z143"/>
    <mergeCell ref="S145:V145"/>
    <mergeCell ref="W145:Z145"/>
    <mergeCell ref="S146:V146"/>
    <mergeCell ref="W146:Z146"/>
    <mergeCell ref="B145:F145"/>
    <mergeCell ref="G145:J145"/>
    <mergeCell ref="B146:F146"/>
    <mergeCell ref="G146:J146"/>
    <mergeCell ref="K146:N146"/>
    <mergeCell ref="O146:R146"/>
    <mergeCell ref="K145:N145"/>
    <mergeCell ref="O145:R145"/>
    <mergeCell ref="B147:F147"/>
    <mergeCell ref="G147:J147"/>
    <mergeCell ref="K147:N147"/>
    <mergeCell ref="O147:R147"/>
    <mergeCell ref="S147:V147"/>
    <mergeCell ref="W147:Z147"/>
    <mergeCell ref="S148:V148"/>
    <mergeCell ref="W148:Z148"/>
    <mergeCell ref="S149:V149"/>
    <mergeCell ref="W149:Z149"/>
    <mergeCell ref="B148:F148"/>
    <mergeCell ref="G148:J148"/>
    <mergeCell ref="B149:F149"/>
    <mergeCell ref="G149:J149"/>
    <mergeCell ref="K149:N149"/>
    <mergeCell ref="O149:R149"/>
    <mergeCell ref="K148:N148"/>
    <mergeCell ref="O148:R148"/>
    <mergeCell ref="A7:A19"/>
    <mergeCell ref="AA20:AF20"/>
    <mergeCell ref="AG20:AI20"/>
    <mergeCell ref="AA26:AI26"/>
    <mergeCell ref="S26:V26"/>
    <mergeCell ref="W26:Z26"/>
    <mergeCell ref="B26:F26"/>
    <mergeCell ref="G26:J26"/>
    <mergeCell ref="K26:N26"/>
    <mergeCell ref="O26:R26"/>
    <mergeCell ref="AG33:AI33"/>
    <mergeCell ref="AA39:AI39"/>
    <mergeCell ref="AA46:AF46"/>
    <mergeCell ref="AG46:AI46"/>
    <mergeCell ref="AG36:AI36"/>
    <mergeCell ref="AG34:AI34"/>
    <mergeCell ref="AA40:AI40"/>
    <mergeCell ref="AG38:AI38"/>
    <mergeCell ref="AA38:AF38"/>
    <mergeCell ref="AG37:AI37"/>
    <mergeCell ref="AG59:AI59"/>
    <mergeCell ref="AA65:AI65"/>
    <mergeCell ref="AA72:AF72"/>
    <mergeCell ref="AG72:AI72"/>
    <mergeCell ref="AA66:AI66"/>
    <mergeCell ref="AG64:AI64"/>
    <mergeCell ref="AA64:AF64"/>
    <mergeCell ref="AG62:AI62"/>
    <mergeCell ref="AG60:AI60"/>
    <mergeCell ref="AG63:AI63"/>
    <mergeCell ref="AG85:AI85"/>
    <mergeCell ref="AA91:AI91"/>
    <mergeCell ref="AA98:AF98"/>
    <mergeCell ref="AG98:AI98"/>
    <mergeCell ref="AA92:AI92"/>
    <mergeCell ref="AG90:AI90"/>
    <mergeCell ref="AA90:AF90"/>
    <mergeCell ref="AG88:AI88"/>
    <mergeCell ref="AG86:AI86"/>
    <mergeCell ref="AG89:AI89"/>
    <mergeCell ref="AG137:AI137"/>
    <mergeCell ref="AA143:AI143"/>
    <mergeCell ref="AG111:AI111"/>
    <mergeCell ref="AA117:AI117"/>
    <mergeCell ref="AA124:AF124"/>
    <mergeCell ref="AG124:AI124"/>
    <mergeCell ref="AG142:AI142"/>
    <mergeCell ref="AA142:AF142"/>
    <mergeCell ref="AG140:AI140"/>
    <mergeCell ref="AG138:AI13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4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12" sqref="AO12"/>
    </sheetView>
  </sheetViews>
  <sheetFormatPr defaultColWidth="9.00390625" defaultRowHeight="12.75"/>
  <cols>
    <col min="1" max="1" width="3.125" style="2" customWidth="1"/>
    <col min="2" max="42" width="3.25390625" style="2" customWidth="1"/>
    <col min="43" max="43" width="2.75390625" style="2" customWidth="1"/>
    <col min="44" max="44" width="3.00390625" style="2" customWidth="1"/>
    <col min="45" max="47" width="3.25390625" style="2" customWidth="1"/>
    <col min="48" max="48" width="2.875" style="2" customWidth="1"/>
    <col min="49" max="16384" width="3.25390625" style="2" customWidth="1"/>
  </cols>
  <sheetData>
    <row r="1" spans="1:53" ht="12.75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33</v>
      </c>
      <c r="M1" s="200"/>
      <c r="N1" s="200" t="s">
        <v>222</v>
      </c>
      <c r="O1" s="200"/>
      <c r="P1" s="200"/>
      <c r="Q1" s="200" t="s">
        <v>35</v>
      </c>
      <c r="R1" s="200"/>
      <c r="S1" s="200"/>
      <c r="T1" s="200" t="s">
        <v>36</v>
      </c>
      <c r="U1" s="200"/>
      <c r="V1" s="200"/>
      <c r="W1" s="200" t="s">
        <v>39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 t="s">
        <v>26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 t="s">
        <v>39</v>
      </c>
      <c r="AY1" s="200"/>
      <c r="AZ1" s="200"/>
      <c r="BA1" s="200"/>
    </row>
    <row r="2" spans="1:53" ht="12.75">
      <c r="A2" s="126" t="s">
        <v>134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27"/>
      <c r="N2" s="201">
        <v>3</v>
      </c>
      <c r="O2" s="201"/>
      <c r="P2" s="201"/>
      <c r="Q2" s="127">
        <v>0.35</v>
      </c>
      <c r="R2" s="127"/>
      <c r="S2" s="127"/>
      <c r="T2" s="127">
        <v>0</v>
      </c>
      <c r="U2" s="127"/>
      <c r="V2" s="127"/>
      <c r="W2" s="206" t="s">
        <v>40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7" t="s">
        <v>46</v>
      </c>
      <c r="AI2" s="208"/>
      <c r="AJ2" s="208"/>
      <c r="AK2" s="209"/>
      <c r="AL2" s="207" t="s">
        <v>47</v>
      </c>
      <c r="AM2" s="208"/>
      <c r="AN2" s="208"/>
      <c r="AO2" s="209"/>
      <c r="AP2" s="207" t="s">
        <v>46</v>
      </c>
      <c r="AQ2" s="208"/>
      <c r="AR2" s="208"/>
      <c r="AS2" s="209"/>
      <c r="AT2" s="207" t="s">
        <v>48</v>
      </c>
      <c r="AU2" s="208"/>
      <c r="AV2" s="208"/>
      <c r="AW2" s="209"/>
      <c r="AX2" s="210" t="s">
        <v>51</v>
      </c>
      <c r="AY2" s="211"/>
      <c r="AZ2" s="211"/>
      <c r="BA2" s="212"/>
    </row>
    <row r="3" spans="1:53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02"/>
      <c r="O3" s="202"/>
      <c r="P3" s="202"/>
      <c r="Q3" s="126"/>
      <c r="R3" s="126"/>
      <c r="S3" s="126"/>
      <c r="T3" s="126"/>
      <c r="U3" s="126"/>
      <c r="V3" s="12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126" t="s">
        <v>5</v>
      </c>
      <c r="AI3" s="126"/>
      <c r="AJ3" s="126"/>
      <c r="AK3" s="126"/>
      <c r="AL3" s="127">
        <v>20</v>
      </c>
      <c r="AM3" s="127"/>
      <c r="AN3" s="127"/>
      <c r="AO3" s="127"/>
      <c r="AP3" s="203" t="s">
        <v>49</v>
      </c>
      <c r="AQ3" s="204"/>
      <c r="AR3" s="204"/>
      <c r="AS3" s="205"/>
      <c r="AT3" s="126">
        <v>0</v>
      </c>
      <c r="AU3" s="126"/>
      <c r="AV3" s="126"/>
      <c r="AW3" s="126"/>
      <c r="AX3" s="213"/>
      <c r="AY3" s="214"/>
      <c r="AZ3" s="214"/>
      <c r="BA3" s="215"/>
    </row>
    <row r="4" spans="2:53" ht="12.75">
      <c r="B4" s="11" t="s">
        <v>159</v>
      </c>
      <c r="C4" s="12"/>
      <c r="D4" s="12"/>
      <c r="E4" s="12" t="s">
        <v>160</v>
      </c>
      <c r="F4" s="12"/>
      <c r="G4" s="12"/>
      <c r="H4" s="12"/>
      <c r="I4" s="12"/>
      <c r="J4" s="12"/>
      <c r="K4" s="13"/>
      <c r="L4" s="126"/>
      <c r="M4" s="126"/>
      <c r="N4" s="202"/>
      <c r="O4" s="202"/>
      <c r="P4" s="202"/>
      <c r="Q4" s="126"/>
      <c r="R4" s="126"/>
      <c r="S4" s="126"/>
      <c r="T4" s="126"/>
      <c r="U4" s="126"/>
      <c r="V4" s="12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126" t="s">
        <v>2</v>
      </c>
      <c r="AI4" s="126"/>
      <c r="AJ4" s="126"/>
      <c r="AK4" s="126"/>
      <c r="AL4" s="127">
        <v>20</v>
      </c>
      <c r="AM4" s="127"/>
      <c r="AN4" s="127"/>
      <c r="AO4" s="127"/>
      <c r="AP4" s="203" t="s">
        <v>50</v>
      </c>
      <c r="AQ4" s="204"/>
      <c r="AR4" s="204"/>
      <c r="AS4" s="205"/>
      <c r="AT4" s="126">
        <v>100</v>
      </c>
      <c r="AU4" s="126"/>
      <c r="AV4" s="126"/>
      <c r="AW4" s="126"/>
      <c r="AX4" s="216"/>
      <c r="AY4" s="217"/>
      <c r="AZ4" s="217"/>
      <c r="BA4" s="218"/>
    </row>
    <row r="5" spans="2:49" s="3" customFormat="1" ht="13.5" thickBot="1">
      <c r="B5" s="264">
        <v>20</v>
      </c>
      <c r="C5" s="264"/>
      <c r="E5" s="264">
        <v>3</v>
      </c>
      <c r="F5" s="264"/>
      <c r="G5" s="245">
        <f>СВОДНАЯ!G30*$B$5</f>
        <v>43600</v>
      </c>
      <c r="H5" s="245"/>
      <c r="I5" s="245"/>
      <c r="J5" s="245">
        <f>СВОДНАЯ!J30</f>
        <v>4000</v>
      </c>
      <c r="K5" s="245"/>
      <c r="L5" s="245"/>
      <c r="M5" s="245">
        <f>СВОДНАЯ!M30</f>
        <v>5905</v>
      </c>
      <c r="N5" s="245"/>
      <c r="O5" s="245"/>
      <c r="P5" s="245">
        <f>СВОДНАЯ!P30</f>
        <v>8280</v>
      </c>
      <c r="Q5" s="245"/>
      <c r="R5" s="245"/>
      <c r="S5" s="245">
        <f>СВОДНАЯ!S30</f>
        <v>10940</v>
      </c>
      <c r="T5" s="245"/>
      <c r="U5" s="245"/>
      <c r="V5" s="245">
        <f>СВОДНАЯ!V30</f>
        <v>13000</v>
      </c>
      <c r="W5" s="245"/>
      <c r="X5" s="245"/>
      <c r="Y5" s="245">
        <f>СВОДНАЯ!Y30</f>
        <v>13060</v>
      </c>
      <c r="Z5" s="245"/>
      <c r="AA5" s="245"/>
      <c r="AB5" s="245">
        <f>СВОДНАЯ!AB30</f>
        <v>13960</v>
      </c>
      <c r="AC5" s="245"/>
      <c r="AD5" s="245"/>
      <c r="AE5" s="245">
        <f>СВОДНАЯ!AE30</f>
        <v>14360</v>
      </c>
      <c r="AF5" s="245"/>
      <c r="AG5" s="245"/>
      <c r="AH5" s="263">
        <f>СВОДНАЯ!AH30</f>
        <v>14560</v>
      </c>
      <c r="AI5" s="263"/>
      <c r="AJ5" s="263"/>
      <c r="AK5" s="263">
        <f>СВОДНАЯ!AK30</f>
        <v>16940</v>
      </c>
      <c r="AL5" s="263"/>
      <c r="AM5" s="263"/>
      <c r="AN5" s="9"/>
      <c r="AO5" s="263">
        <f>СВОДНАЯ!AO30</f>
        <v>117185</v>
      </c>
      <c r="AP5" s="263"/>
      <c r="AQ5" s="263"/>
      <c r="AR5" s="263"/>
      <c r="AS5" s="4"/>
      <c r="AT5" s="282">
        <v>18</v>
      </c>
      <c r="AU5" s="282"/>
      <c r="AV5" s="282"/>
      <c r="AW5" s="6" t="s">
        <v>349</v>
      </c>
    </row>
    <row r="6" spans="1:35" ht="13.5" thickBot="1">
      <c r="A6" s="129" t="s">
        <v>135</v>
      </c>
      <c r="B6" s="130"/>
      <c r="C6" s="130"/>
      <c r="D6" s="130"/>
      <c r="E6" s="130"/>
      <c r="F6" s="130"/>
      <c r="G6" s="129" t="s">
        <v>5</v>
      </c>
      <c r="H6" s="130"/>
      <c r="I6" s="130"/>
      <c r="J6" s="131"/>
      <c r="K6" s="130" t="s">
        <v>2</v>
      </c>
      <c r="L6" s="130"/>
      <c r="M6" s="130"/>
      <c r="N6" s="130"/>
      <c r="O6" s="129" t="s">
        <v>2</v>
      </c>
      <c r="P6" s="130"/>
      <c r="Q6" s="130"/>
      <c r="R6" s="131"/>
      <c r="S6" s="129" t="s">
        <v>2</v>
      </c>
      <c r="T6" s="130"/>
      <c r="U6" s="130"/>
      <c r="V6" s="131"/>
      <c r="W6" s="129" t="s">
        <v>73</v>
      </c>
      <c r="X6" s="130"/>
      <c r="Y6" s="130"/>
      <c r="Z6" s="131"/>
      <c r="AA6" s="130" t="s">
        <v>350</v>
      </c>
      <c r="AB6" s="130"/>
      <c r="AC6" s="130"/>
      <c r="AD6" s="130"/>
      <c r="AE6" s="130"/>
      <c r="AF6" s="130"/>
      <c r="AG6" s="130"/>
      <c r="AH6" s="130"/>
      <c r="AI6" s="131"/>
    </row>
    <row r="7" spans="1:35" ht="12.75" customHeight="1">
      <c r="A7" s="186" t="s">
        <v>61</v>
      </c>
      <c r="B7" s="93" t="s">
        <v>23</v>
      </c>
      <c r="C7" s="94"/>
      <c r="D7" s="94"/>
      <c r="E7" s="94"/>
      <c r="F7" s="199"/>
      <c r="G7" s="185">
        <v>1090</v>
      </c>
      <c r="H7" s="183"/>
      <c r="I7" s="183"/>
      <c r="J7" s="184"/>
      <c r="K7" s="182">
        <v>1090</v>
      </c>
      <c r="L7" s="183"/>
      <c r="M7" s="183"/>
      <c r="N7" s="184"/>
      <c r="O7" s="242">
        <v>0</v>
      </c>
      <c r="P7" s="243"/>
      <c r="Q7" s="243"/>
      <c r="R7" s="244"/>
      <c r="S7" s="242">
        <v>0</v>
      </c>
      <c r="T7" s="243"/>
      <c r="U7" s="243"/>
      <c r="V7" s="244"/>
      <c r="W7" s="170">
        <f>SUM(G7:V7)</f>
        <v>2180</v>
      </c>
      <c r="X7" s="171"/>
      <c r="Y7" s="171"/>
      <c r="Z7" s="172"/>
      <c r="AA7" s="236" t="s">
        <v>53</v>
      </c>
      <c r="AB7" s="94"/>
      <c r="AC7" s="94"/>
      <c r="AD7" s="94"/>
      <c r="AE7" s="94"/>
      <c r="AF7" s="94"/>
      <c r="AG7" s="269">
        <v>3.008</v>
      </c>
      <c r="AH7" s="270"/>
      <c r="AI7" s="271"/>
    </row>
    <row r="8" spans="1:35" ht="12.75">
      <c r="A8" s="219"/>
      <c r="B8" s="125" t="s">
        <v>24</v>
      </c>
      <c r="C8" s="126"/>
      <c r="D8" s="126"/>
      <c r="E8" s="126"/>
      <c r="F8" s="161"/>
      <c r="G8" s="239">
        <v>1090</v>
      </c>
      <c r="H8" s="240"/>
      <c r="I8" s="240"/>
      <c r="J8" s="241"/>
      <c r="K8" s="166">
        <v>1090</v>
      </c>
      <c r="L8" s="167"/>
      <c r="M8" s="167"/>
      <c r="N8" s="168"/>
      <c r="O8" s="239">
        <v>0</v>
      </c>
      <c r="P8" s="240"/>
      <c r="Q8" s="240"/>
      <c r="R8" s="241"/>
      <c r="S8" s="239">
        <v>0</v>
      </c>
      <c r="T8" s="240"/>
      <c r="U8" s="240"/>
      <c r="V8" s="241"/>
      <c r="W8" s="153">
        <f aca="true" t="shared" si="0" ref="W8:W19">G8+K8+O8+S8</f>
        <v>2180</v>
      </c>
      <c r="X8" s="154"/>
      <c r="Y8" s="154"/>
      <c r="Z8" s="155"/>
      <c r="AA8" s="205" t="s">
        <v>54</v>
      </c>
      <c r="AB8" s="126"/>
      <c r="AC8" s="126"/>
      <c r="AD8" s="126"/>
      <c r="AE8" s="126"/>
      <c r="AF8" s="126"/>
      <c r="AG8" s="278">
        <v>8.55</v>
      </c>
      <c r="AH8" s="278"/>
      <c r="AI8" s="279"/>
    </row>
    <row r="9" spans="1:35" ht="12.75">
      <c r="A9" s="219"/>
      <c r="B9" s="125" t="s">
        <v>29</v>
      </c>
      <c r="C9" s="126"/>
      <c r="D9" s="126"/>
      <c r="E9" s="126"/>
      <c r="F9" s="161"/>
      <c r="G9" s="156">
        <v>30</v>
      </c>
      <c r="H9" s="157"/>
      <c r="I9" s="157"/>
      <c r="J9" s="158"/>
      <c r="K9" s="156">
        <v>20</v>
      </c>
      <c r="L9" s="157"/>
      <c r="M9" s="157"/>
      <c r="N9" s="158"/>
      <c r="O9" s="156">
        <f>O8*0.005</f>
        <v>0</v>
      </c>
      <c r="P9" s="157"/>
      <c r="Q9" s="157"/>
      <c r="R9" s="158"/>
      <c r="S9" s="156">
        <f>S8*0.005</f>
        <v>0</v>
      </c>
      <c r="T9" s="157"/>
      <c r="U9" s="157"/>
      <c r="V9" s="158"/>
      <c r="W9" s="153">
        <f t="shared" si="0"/>
        <v>50</v>
      </c>
      <c r="X9" s="154"/>
      <c r="Y9" s="154"/>
      <c r="Z9" s="155"/>
      <c r="AA9" s="205" t="s">
        <v>55</v>
      </c>
      <c r="AB9" s="126"/>
      <c r="AC9" s="126"/>
      <c r="AD9" s="126"/>
      <c r="AE9" s="126"/>
      <c r="AF9" s="126"/>
      <c r="AG9" s="134">
        <f>AG8</f>
        <v>8.55</v>
      </c>
      <c r="AH9" s="134"/>
      <c r="AI9" s="135"/>
    </row>
    <row r="10" spans="1:50" ht="12.75">
      <c r="A10" s="219"/>
      <c r="B10" s="125" t="s">
        <v>10</v>
      </c>
      <c r="C10" s="126"/>
      <c r="D10" s="126"/>
      <c r="E10" s="126"/>
      <c r="F10" s="161"/>
      <c r="G10" s="169">
        <v>30</v>
      </c>
      <c r="H10" s="167"/>
      <c r="I10" s="167"/>
      <c r="J10" s="168"/>
      <c r="K10" s="166">
        <v>20</v>
      </c>
      <c r="L10" s="167"/>
      <c r="M10" s="167"/>
      <c r="N10" s="168"/>
      <c r="O10" s="239">
        <v>0</v>
      </c>
      <c r="P10" s="240"/>
      <c r="Q10" s="240"/>
      <c r="R10" s="241"/>
      <c r="S10" s="239">
        <v>0</v>
      </c>
      <c r="T10" s="240"/>
      <c r="U10" s="240"/>
      <c r="V10" s="241"/>
      <c r="W10" s="153">
        <f t="shared" si="0"/>
        <v>50</v>
      </c>
      <c r="X10" s="154"/>
      <c r="Y10" s="154"/>
      <c r="Z10" s="155"/>
      <c r="AA10" s="205" t="s">
        <v>56</v>
      </c>
      <c r="AB10" s="126"/>
      <c r="AC10" s="126"/>
      <c r="AD10" s="126"/>
      <c r="AE10" s="126"/>
      <c r="AF10" s="126"/>
      <c r="AG10" s="134">
        <f>W17+AG9</f>
        <v>-0.8200000000000038</v>
      </c>
      <c r="AH10" s="134"/>
      <c r="AI10" s="135"/>
      <c r="AO10" s="36"/>
      <c r="AP10" s="38" t="s">
        <v>167</v>
      </c>
      <c r="AQ10" s="38"/>
      <c r="AR10" s="38"/>
      <c r="AS10" s="38"/>
      <c r="AT10" s="38"/>
      <c r="AU10" s="38"/>
      <c r="AV10" s="38"/>
      <c r="AW10" s="38"/>
      <c r="AX10" s="36"/>
    </row>
    <row r="11" spans="1:35" ht="13.5" thickBot="1">
      <c r="A11" s="219"/>
      <c r="B11" s="125" t="s">
        <v>58</v>
      </c>
      <c r="C11" s="126"/>
      <c r="D11" s="126"/>
      <c r="E11" s="126"/>
      <c r="F11" s="161"/>
      <c r="G11" s="156">
        <f>IF(G9&lt;G10,G10,G9)</f>
        <v>30</v>
      </c>
      <c r="H11" s="157"/>
      <c r="I11" s="157"/>
      <c r="J11" s="158"/>
      <c r="K11" s="160">
        <f>IF(K9&lt;K10,K10,K9)</f>
        <v>20</v>
      </c>
      <c r="L11" s="157"/>
      <c r="M11" s="157"/>
      <c r="N11" s="158"/>
      <c r="O11" s="246">
        <f>IF(O9&lt;O10,O10,O9)</f>
        <v>0</v>
      </c>
      <c r="P11" s="247"/>
      <c r="Q11" s="247"/>
      <c r="R11" s="248"/>
      <c r="S11" s="246">
        <f>IF(S9&lt;S10,S10,S9)</f>
        <v>0</v>
      </c>
      <c r="T11" s="247"/>
      <c r="U11" s="247"/>
      <c r="V11" s="248"/>
      <c r="W11" s="153">
        <f t="shared" si="0"/>
        <v>50</v>
      </c>
      <c r="X11" s="154"/>
      <c r="Y11" s="154"/>
      <c r="Z11" s="155"/>
      <c r="AA11" s="232" t="s">
        <v>57</v>
      </c>
      <c r="AB11" s="90"/>
      <c r="AC11" s="90"/>
      <c r="AD11" s="90"/>
      <c r="AE11" s="90"/>
      <c r="AF11" s="90"/>
      <c r="AG11" s="91">
        <f>-AG9+AG10-W18</f>
        <v>-9.042000000000003</v>
      </c>
      <c r="AH11" s="91"/>
      <c r="AI11" s="85"/>
    </row>
    <row r="12" spans="1:35" ht="13.5" thickBot="1">
      <c r="A12" s="219"/>
      <c r="B12" s="125" t="s">
        <v>41</v>
      </c>
      <c r="C12" s="126"/>
      <c r="D12" s="126"/>
      <c r="E12" s="126"/>
      <c r="F12" s="161"/>
      <c r="G12" s="156">
        <v>16.5</v>
      </c>
      <c r="H12" s="157"/>
      <c r="I12" s="157"/>
      <c r="J12" s="158"/>
      <c r="K12" s="156">
        <v>16.5</v>
      </c>
      <c r="L12" s="157"/>
      <c r="M12" s="157"/>
      <c r="N12" s="158"/>
      <c r="O12" s="246">
        <v>0</v>
      </c>
      <c r="P12" s="247"/>
      <c r="Q12" s="247"/>
      <c r="R12" s="248"/>
      <c r="S12" s="246">
        <v>0</v>
      </c>
      <c r="T12" s="247"/>
      <c r="U12" s="247"/>
      <c r="V12" s="248"/>
      <c r="W12" s="153">
        <f t="shared" si="0"/>
        <v>33</v>
      </c>
      <c r="X12" s="154"/>
      <c r="Y12" s="154"/>
      <c r="Z12" s="155"/>
      <c r="AA12" s="230" t="s">
        <v>59</v>
      </c>
      <c r="AB12" s="231"/>
      <c r="AC12" s="231"/>
      <c r="AD12" s="231"/>
      <c r="AE12" s="231"/>
      <c r="AF12" s="231"/>
      <c r="AG12" s="266">
        <f>AG8+AG11</f>
        <v>-0.49200000000000266</v>
      </c>
      <c r="AH12" s="267"/>
      <c r="AI12" s="268"/>
    </row>
    <row r="13" spans="1:35" ht="12.75">
      <c r="A13" s="219"/>
      <c r="B13" s="125" t="s">
        <v>42</v>
      </c>
      <c r="C13" s="126"/>
      <c r="D13" s="126"/>
      <c r="E13" s="126"/>
      <c r="F13" s="161"/>
      <c r="G13" s="169">
        <v>16.5</v>
      </c>
      <c r="H13" s="167"/>
      <c r="I13" s="167"/>
      <c r="J13" s="168"/>
      <c r="K13" s="169">
        <v>16.5</v>
      </c>
      <c r="L13" s="167"/>
      <c r="M13" s="167"/>
      <c r="N13" s="168"/>
      <c r="O13" s="239">
        <v>0</v>
      </c>
      <c r="P13" s="240"/>
      <c r="Q13" s="240"/>
      <c r="R13" s="241"/>
      <c r="S13" s="239">
        <v>0</v>
      </c>
      <c r="T13" s="240"/>
      <c r="U13" s="240"/>
      <c r="V13" s="241"/>
      <c r="W13" s="153">
        <f t="shared" si="0"/>
        <v>33</v>
      </c>
      <c r="X13" s="154"/>
      <c r="Y13" s="154"/>
      <c r="Z13" s="155"/>
      <c r="AA13" s="136">
        <f>(W12+W11)/W8*100-$L$2</f>
        <v>3.8073394495412844</v>
      </c>
      <c r="AB13" s="136"/>
      <c r="AC13" s="136"/>
      <c r="AD13" s="136"/>
      <c r="AE13" s="136"/>
      <c r="AF13" s="136"/>
      <c r="AG13" s="136"/>
      <c r="AH13" s="136"/>
      <c r="AI13" s="136"/>
    </row>
    <row r="14" spans="1:35" ht="12.75">
      <c r="A14" s="219"/>
      <c r="B14" s="125" t="s">
        <v>43</v>
      </c>
      <c r="C14" s="126"/>
      <c r="D14" s="126"/>
      <c r="E14" s="126"/>
      <c r="F14" s="161"/>
      <c r="G14" s="165">
        <f>G12-G13</f>
        <v>0</v>
      </c>
      <c r="H14" s="163"/>
      <c r="I14" s="163"/>
      <c r="J14" s="164"/>
      <c r="K14" s="162">
        <f>K12-K13</f>
        <v>0</v>
      </c>
      <c r="L14" s="163"/>
      <c r="M14" s="163"/>
      <c r="N14" s="164"/>
      <c r="O14" s="275">
        <f>O12-O13</f>
        <v>0</v>
      </c>
      <c r="P14" s="276"/>
      <c r="Q14" s="276"/>
      <c r="R14" s="277"/>
      <c r="S14" s="275">
        <v>0</v>
      </c>
      <c r="T14" s="276"/>
      <c r="U14" s="276"/>
      <c r="V14" s="277"/>
      <c r="W14" s="153">
        <f t="shared" si="0"/>
        <v>0</v>
      </c>
      <c r="X14" s="154"/>
      <c r="Y14" s="154"/>
      <c r="Z14" s="155"/>
      <c r="AA14" s="132">
        <f>AG7*W7/100</f>
        <v>65.5744</v>
      </c>
      <c r="AB14" s="233"/>
      <c r="AC14" s="233"/>
      <c r="AD14" s="233"/>
      <c r="AE14" s="233"/>
      <c r="AF14" s="233"/>
      <c r="AG14" s="233"/>
      <c r="AH14" s="233"/>
      <c r="AI14" s="233"/>
    </row>
    <row r="15" spans="1:35" ht="12.75">
      <c r="A15" s="219"/>
      <c r="B15" s="125" t="s">
        <v>30</v>
      </c>
      <c r="C15" s="126"/>
      <c r="D15" s="126"/>
      <c r="E15" s="126"/>
      <c r="F15" s="161"/>
      <c r="G15" s="156">
        <f>G8/100*$Q$2+($AT$5+$AG15*$E$5)/2</f>
        <v>36.815</v>
      </c>
      <c r="H15" s="157"/>
      <c r="I15" s="157"/>
      <c r="J15" s="158"/>
      <c r="K15" s="156">
        <f>K8/100*$Q$2+($AT$5+$AG15*$E$5)/2</f>
        <v>36.815</v>
      </c>
      <c r="L15" s="157"/>
      <c r="M15" s="157"/>
      <c r="N15" s="158"/>
      <c r="O15" s="246">
        <f>O8/100*$L$2</f>
        <v>0</v>
      </c>
      <c r="P15" s="247"/>
      <c r="Q15" s="247"/>
      <c r="R15" s="248"/>
      <c r="S15" s="246">
        <f>S8/100*$L$2</f>
        <v>0</v>
      </c>
      <c r="T15" s="247"/>
      <c r="U15" s="247"/>
      <c r="V15" s="248"/>
      <c r="W15" s="153">
        <f t="shared" si="0"/>
        <v>73.63</v>
      </c>
      <c r="X15" s="154"/>
      <c r="Y15" s="154"/>
      <c r="Z15" s="155"/>
      <c r="AA15" s="283" t="s">
        <v>161</v>
      </c>
      <c r="AB15" s="233"/>
      <c r="AC15" s="233"/>
      <c r="AD15" s="233"/>
      <c r="AE15" s="233"/>
      <c r="AF15" s="233"/>
      <c r="AG15" s="233">
        <v>16</v>
      </c>
      <c r="AH15" s="233"/>
      <c r="AI15" s="233"/>
    </row>
    <row r="16" spans="1:26" ht="12.75">
      <c r="A16" s="219"/>
      <c r="B16" s="125" t="s">
        <v>44</v>
      </c>
      <c r="C16" s="126"/>
      <c r="D16" s="126"/>
      <c r="E16" s="126"/>
      <c r="F16" s="161"/>
      <c r="G16" s="156">
        <f>G15-G12-G11</f>
        <v>-9.685000000000002</v>
      </c>
      <c r="H16" s="157"/>
      <c r="I16" s="157"/>
      <c r="J16" s="158"/>
      <c r="K16" s="160">
        <f>K15-K12-K11</f>
        <v>0.3149999999999977</v>
      </c>
      <c r="L16" s="157"/>
      <c r="M16" s="157"/>
      <c r="N16" s="158"/>
      <c r="O16" s="246">
        <f>O15-O12-O11</f>
        <v>0</v>
      </c>
      <c r="P16" s="247"/>
      <c r="Q16" s="247"/>
      <c r="R16" s="248"/>
      <c r="S16" s="246">
        <f>S15-S12-S11</f>
        <v>0</v>
      </c>
      <c r="T16" s="247"/>
      <c r="U16" s="247"/>
      <c r="V16" s="248"/>
      <c r="W16" s="153">
        <f t="shared" si="0"/>
        <v>-9.370000000000005</v>
      </c>
      <c r="X16" s="154"/>
      <c r="Y16" s="154"/>
      <c r="Z16" s="155"/>
    </row>
    <row r="17" spans="1:26" ht="12.75" customHeight="1">
      <c r="A17" s="219"/>
      <c r="B17" s="125" t="s">
        <v>45</v>
      </c>
      <c r="C17" s="126"/>
      <c r="D17" s="126"/>
      <c r="E17" s="126"/>
      <c r="F17" s="161"/>
      <c r="G17" s="156">
        <f>G16+G14</f>
        <v>-9.685000000000002</v>
      </c>
      <c r="H17" s="157"/>
      <c r="I17" s="157"/>
      <c r="J17" s="158"/>
      <c r="K17" s="160">
        <f>K16+K14</f>
        <v>0.3149999999999977</v>
      </c>
      <c r="L17" s="157"/>
      <c r="M17" s="157"/>
      <c r="N17" s="158"/>
      <c r="O17" s="246">
        <f>O16+O14</f>
        <v>0</v>
      </c>
      <c r="P17" s="247"/>
      <c r="Q17" s="247"/>
      <c r="R17" s="248"/>
      <c r="S17" s="246">
        <f>S16+S14</f>
        <v>0</v>
      </c>
      <c r="T17" s="247"/>
      <c r="U17" s="247"/>
      <c r="V17" s="248"/>
      <c r="W17" s="153">
        <f t="shared" si="0"/>
        <v>-9.370000000000005</v>
      </c>
      <c r="X17" s="154"/>
      <c r="Y17" s="154"/>
      <c r="Z17" s="155"/>
    </row>
    <row r="18" spans="1:26" ht="12.75">
      <c r="A18" s="219"/>
      <c r="B18" s="194" t="s">
        <v>26</v>
      </c>
      <c r="C18" s="98"/>
      <c r="D18" s="98"/>
      <c r="E18" s="98"/>
      <c r="F18" s="195"/>
      <c r="G18" s="196">
        <f>$AG10/100*$AL$3</f>
        <v>-0.16400000000000078</v>
      </c>
      <c r="H18" s="197"/>
      <c r="I18" s="197"/>
      <c r="J18" s="198"/>
      <c r="K18" s="196">
        <f>$AG10/100*$AL$4</f>
        <v>-0.16400000000000078</v>
      </c>
      <c r="L18" s="197"/>
      <c r="M18" s="197"/>
      <c r="N18" s="198"/>
      <c r="O18" s="137">
        <v>0</v>
      </c>
      <c r="P18" s="138"/>
      <c r="Q18" s="138"/>
      <c r="R18" s="139"/>
      <c r="S18" s="137">
        <v>0</v>
      </c>
      <c r="T18" s="138"/>
      <c r="U18" s="138"/>
      <c r="V18" s="139"/>
      <c r="W18" s="153">
        <f t="shared" si="0"/>
        <v>-0.32800000000000157</v>
      </c>
      <c r="X18" s="154"/>
      <c r="Y18" s="154"/>
      <c r="Z18" s="155"/>
    </row>
    <row r="19" spans="1:26" ht="13.5" thickBot="1">
      <c r="A19" s="220"/>
      <c r="B19" s="191" t="s">
        <v>28</v>
      </c>
      <c r="C19" s="192"/>
      <c r="D19" s="192"/>
      <c r="E19" s="192"/>
      <c r="F19" s="193"/>
      <c r="G19" s="149">
        <f>IF(G18&lt;0,G11,G11+G18)</f>
        <v>30</v>
      </c>
      <c r="H19" s="147"/>
      <c r="I19" s="147"/>
      <c r="J19" s="148"/>
      <c r="K19" s="146">
        <f>IF(K18&lt;0,K11,K11+K18)</f>
        <v>20</v>
      </c>
      <c r="L19" s="147"/>
      <c r="M19" s="147"/>
      <c r="N19" s="148"/>
      <c r="O19" s="255">
        <f>IF(O18&lt;0,O11,O11+O18)</f>
        <v>0</v>
      </c>
      <c r="P19" s="256"/>
      <c r="Q19" s="256"/>
      <c r="R19" s="257"/>
      <c r="S19" s="255">
        <f>IF(S18&lt;0,S11,S11+S18)</f>
        <v>0</v>
      </c>
      <c r="T19" s="256"/>
      <c r="U19" s="256"/>
      <c r="V19" s="257"/>
      <c r="W19" s="150">
        <f t="shared" si="0"/>
        <v>50</v>
      </c>
      <c r="X19" s="151"/>
      <c r="Y19" s="151"/>
      <c r="Z19" s="152"/>
    </row>
    <row r="20" spans="1:35" ht="12.75" customHeight="1">
      <c r="A20" s="186" t="s">
        <v>62</v>
      </c>
      <c r="B20" s="93" t="s">
        <v>23</v>
      </c>
      <c r="C20" s="94"/>
      <c r="D20" s="94"/>
      <c r="E20" s="94"/>
      <c r="F20" s="199"/>
      <c r="G20" s="185">
        <v>1890</v>
      </c>
      <c r="H20" s="183"/>
      <c r="I20" s="183"/>
      <c r="J20" s="184"/>
      <c r="K20" s="182">
        <v>1890</v>
      </c>
      <c r="L20" s="183"/>
      <c r="M20" s="183"/>
      <c r="N20" s="184"/>
      <c r="O20" s="242">
        <v>0</v>
      </c>
      <c r="P20" s="243"/>
      <c r="Q20" s="243"/>
      <c r="R20" s="244"/>
      <c r="S20" s="242">
        <v>0</v>
      </c>
      <c r="T20" s="243"/>
      <c r="U20" s="243"/>
      <c r="V20" s="244"/>
      <c r="W20" s="170">
        <f>SUM(G20:V20)</f>
        <v>3780</v>
      </c>
      <c r="X20" s="171"/>
      <c r="Y20" s="171"/>
      <c r="Z20" s="172"/>
      <c r="AA20" s="236" t="s">
        <v>53</v>
      </c>
      <c r="AB20" s="94"/>
      <c r="AC20" s="94"/>
      <c r="AD20" s="94"/>
      <c r="AE20" s="94"/>
      <c r="AF20" s="94"/>
      <c r="AG20" s="269">
        <v>0</v>
      </c>
      <c r="AH20" s="270"/>
      <c r="AI20" s="271"/>
    </row>
    <row r="21" spans="1:35" ht="12.75">
      <c r="A21" s="219"/>
      <c r="B21" s="125" t="s">
        <v>24</v>
      </c>
      <c r="C21" s="126"/>
      <c r="D21" s="126"/>
      <c r="E21" s="126"/>
      <c r="F21" s="161"/>
      <c r="G21" s="239">
        <v>1890</v>
      </c>
      <c r="H21" s="240"/>
      <c r="I21" s="240"/>
      <c r="J21" s="241"/>
      <c r="K21" s="166">
        <v>1890</v>
      </c>
      <c r="L21" s="167"/>
      <c r="M21" s="167"/>
      <c r="N21" s="168"/>
      <c r="O21" s="239">
        <v>0</v>
      </c>
      <c r="P21" s="240"/>
      <c r="Q21" s="240"/>
      <c r="R21" s="241"/>
      <c r="S21" s="239">
        <v>0</v>
      </c>
      <c r="T21" s="240"/>
      <c r="U21" s="240"/>
      <c r="V21" s="241"/>
      <c r="W21" s="153">
        <f aca="true" t="shared" si="1" ref="W21:W32">G21+K21+O21+S21</f>
        <v>3780</v>
      </c>
      <c r="X21" s="154"/>
      <c r="Y21" s="154"/>
      <c r="Z21" s="155"/>
      <c r="AA21" s="205" t="s">
        <v>54</v>
      </c>
      <c r="AB21" s="126"/>
      <c r="AC21" s="126"/>
      <c r="AD21" s="126"/>
      <c r="AE21" s="126"/>
      <c r="AF21" s="126"/>
      <c r="AG21" s="278">
        <v>0</v>
      </c>
      <c r="AH21" s="278"/>
      <c r="AI21" s="279"/>
    </row>
    <row r="22" spans="1:35" ht="12.75">
      <c r="A22" s="219"/>
      <c r="B22" s="125" t="s">
        <v>29</v>
      </c>
      <c r="C22" s="126"/>
      <c r="D22" s="126"/>
      <c r="E22" s="126"/>
      <c r="F22" s="161"/>
      <c r="G22" s="156">
        <v>30</v>
      </c>
      <c r="H22" s="157"/>
      <c r="I22" s="157"/>
      <c r="J22" s="158"/>
      <c r="K22" s="156">
        <v>20</v>
      </c>
      <c r="L22" s="157"/>
      <c r="M22" s="157"/>
      <c r="N22" s="158"/>
      <c r="O22" s="156">
        <f>O21*0.005</f>
        <v>0</v>
      </c>
      <c r="P22" s="157"/>
      <c r="Q22" s="157"/>
      <c r="R22" s="158"/>
      <c r="S22" s="156">
        <f>S21*0.005</f>
        <v>0</v>
      </c>
      <c r="T22" s="157"/>
      <c r="U22" s="157"/>
      <c r="V22" s="158"/>
      <c r="W22" s="153">
        <f t="shared" si="1"/>
        <v>50</v>
      </c>
      <c r="X22" s="154"/>
      <c r="Y22" s="154"/>
      <c r="Z22" s="155"/>
      <c r="AA22" s="205" t="s">
        <v>55</v>
      </c>
      <c r="AB22" s="126"/>
      <c r="AC22" s="126"/>
      <c r="AD22" s="126"/>
      <c r="AE22" s="126"/>
      <c r="AF22" s="126"/>
      <c r="AG22" s="134">
        <f>AG21</f>
        <v>0</v>
      </c>
      <c r="AH22" s="134"/>
      <c r="AI22" s="135"/>
    </row>
    <row r="23" spans="1:35" ht="12.75">
      <c r="A23" s="219"/>
      <c r="B23" s="125" t="s">
        <v>10</v>
      </c>
      <c r="C23" s="126"/>
      <c r="D23" s="126"/>
      <c r="E23" s="126"/>
      <c r="F23" s="161"/>
      <c r="G23" s="169">
        <v>30</v>
      </c>
      <c r="H23" s="167"/>
      <c r="I23" s="167"/>
      <c r="J23" s="168"/>
      <c r="K23" s="166">
        <v>20</v>
      </c>
      <c r="L23" s="167"/>
      <c r="M23" s="167"/>
      <c r="N23" s="168"/>
      <c r="O23" s="239">
        <v>0</v>
      </c>
      <c r="P23" s="240"/>
      <c r="Q23" s="240"/>
      <c r="R23" s="241"/>
      <c r="S23" s="239">
        <v>0</v>
      </c>
      <c r="T23" s="240"/>
      <c r="U23" s="240"/>
      <c r="V23" s="241"/>
      <c r="W23" s="153">
        <f t="shared" si="1"/>
        <v>50</v>
      </c>
      <c r="X23" s="154"/>
      <c r="Y23" s="154"/>
      <c r="Z23" s="155"/>
      <c r="AA23" s="205" t="s">
        <v>56</v>
      </c>
      <c r="AB23" s="126"/>
      <c r="AC23" s="126"/>
      <c r="AD23" s="126"/>
      <c r="AE23" s="126"/>
      <c r="AF23" s="126"/>
      <c r="AG23" s="134">
        <f>W30+AG22</f>
        <v>2.230000000000004</v>
      </c>
      <c r="AH23" s="134"/>
      <c r="AI23" s="135"/>
    </row>
    <row r="24" spans="1:35" ht="13.5" thickBot="1">
      <c r="A24" s="219"/>
      <c r="B24" s="125" t="s">
        <v>58</v>
      </c>
      <c r="C24" s="126"/>
      <c r="D24" s="126"/>
      <c r="E24" s="126"/>
      <c r="F24" s="161"/>
      <c r="G24" s="156">
        <f>IF(G22&lt;G23,G23,G22)</f>
        <v>30</v>
      </c>
      <c r="H24" s="157"/>
      <c r="I24" s="157"/>
      <c r="J24" s="158"/>
      <c r="K24" s="160">
        <f>IF(K22&lt;K23,K23,K22)</f>
        <v>20</v>
      </c>
      <c r="L24" s="157"/>
      <c r="M24" s="157"/>
      <c r="N24" s="158"/>
      <c r="O24" s="246">
        <f>IF(O22&lt;O23,O23,O22)</f>
        <v>0</v>
      </c>
      <c r="P24" s="247"/>
      <c r="Q24" s="247"/>
      <c r="R24" s="248"/>
      <c r="S24" s="246">
        <f>IF(S22&lt;S23,S23,S22)</f>
        <v>0</v>
      </c>
      <c r="T24" s="247"/>
      <c r="U24" s="247"/>
      <c r="V24" s="248"/>
      <c r="W24" s="153">
        <f t="shared" si="1"/>
        <v>50</v>
      </c>
      <c r="X24" s="154"/>
      <c r="Y24" s="154"/>
      <c r="Z24" s="155"/>
      <c r="AA24" s="232" t="s">
        <v>57</v>
      </c>
      <c r="AB24" s="90"/>
      <c r="AC24" s="90"/>
      <c r="AD24" s="90"/>
      <c r="AE24" s="90"/>
      <c r="AF24" s="90"/>
      <c r="AG24" s="91">
        <f>-AG22+AG23-W31</f>
        <v>1.3380000000000023</v>
      </c>
      <c r="AH24" s="91"/>
      <c r="AI24" s="85"/>
    </row>
    <row r="25" spans="1:35" ht="13.5" thickBot="1">
      <c r="A25" s="219"/>
      <c r="B25" s="125" t="s">
        <v>41</v>
      </c>
      <c r="C25" s="126"/>
      <c r="D25" s="126"/>
      <c r="E25" s="126"/>
      <c r="F25" s="161"/>
      <c r="G25" s="156">
        <v>16.5</v>
      </c>
      <c r="H25" s="157"/>
      <c r="I25" s="157"/>
      <c r="J25" s="158"/>
      <c r="K25" s="156">
        <v>16.5</v>
      </c>
      <c r="L25" s="157"/>
      <c r="M25" s="157"/>
      <c r="N25" s="158"/>
      <c r="O25" s="246">
        <v>0</v>
      </c>
      <c r="P25" s="247"/>
      <c r="Q25" s="247"/>
      <c r="R25" s="248"/>
      <c r="S25" s="246">
        <v>0</v>
      </c>
      <c r="T25" s="247"/>
      <c r="U25" s="247"/>
      <c r="V25" s="248"/>
      <c r="W25" s="153">
        <f t="shared" si="1"/>
        <v>33</v>
      </c>
      <c r="X25" s="154"/>
      <c r="Y25" s="154"/>
      <c r="Z25" s="155"/>
      <c r="AA25" s="230" t="s">
        <v>59</v>
      </c>
      <c r="AB25" s="231"/>
      <c r="AC25" s="231"/>
      <c r="AD25" s="231"/>
      <c r="AE25" s="231"/>
      <c r="AF25" s="231"/>
      <c r="AG25" s="266">
        <f>AG21+AG24</f>
        <v>1.3380000000000023</v>
      </c>
      <c r="AH25" s="267"/>
      <c r="AI25" s="268"/>
    </row>
    <row r="26" spans="1:35" ht="12.75">
      <c r="A26" s="219"/>
      <c r="B26" s="125" t="s">
        <v>42</v>
      </c>
      <c r="C26" s="126"/>
      <c r="D26" s="126"/>
      <c r="E26" s="126"/>
      <c r="F26" s="161"/>
      <c r="G26" s="169">
        <v>16.5</v>
      </c>
      <c r="H26" s="167"/>
      <c r="I26" s="167"/>
      <c r="J26" s="168"/>
      <c r="K26" s="169">
        <v>16.5</v>
      </c>
      <c r="L26" s="167"/>
      <c r="M26" s="167"/>
      <c r="N26" s="168"/>
      <c r="O26" s="239">
        <v>0</v>
      </c>
      <c r="P26" s="240"/>
      <c r="Q26" s="240"/>
      <c r="R26" s="241"/>
      <c r="S26" s="239">
        <v>0</v>
      </c>
      <c r="T26" s="240"/>
      <c r="U26" s="240"/>
      <c r="V26" s="241"/>
      <c r="W26" s="153">
        <f t="shared" si="1"/>
        <v>33</v>
      </c>
      <c r="X26" s="154"/>
      <c r="Y26" s="154"/>
      <c r="Z26" s="155"/>
      <c r="AA26" s="136">
        <f>(W25+W24)/W21*100-$L$2</f>
        <v>2.195767195767196</v>
      </c>
      <c r="AB26" s="136"/>
      <c r="AC26" s="136"/>
      <c r="AD26" s="136"/>
      <c r="AE26" s="136"/>
      <c r="AF26" s="136"/>
      <c r="AG26" s="136"/>
      <c r="AH26" s="136"/>
      <c r="AI26" s="136"/>
    </row>
    <row r="27" spans="1:35" ht="12.75">
      <c r="A27" s="219"/>
      <c r="B27" s="125" t="s">
        <v>43</v>
      </c>
      <c r="C27" s="126"/>
      <c r="D27" s="126"/>
      <c r="E27" s="126"/>
      <c r="F27" s="161"/>
      <c r="G27" s="165">
        <f>G25-G26</f>
        <v>0</v>
      </c>
      <c r="H27" s="163"/>
      <c r="I27" s="163"/>
      <c r="J27" s="164"/>
      <c r="K27" s="162">
        <f>K25-K26</f>
        <v>0</v>
      </c>
      <c r="L27" s="163"/>
      <c r="M27" s="163"/>
      <c r="N27" s="164"/>
      <c r="O27" s="275">
        <f>O25-O26</f>
        <v>0</v>
      </c>
      <c r="P27" s="276"/>
      <c r="Q27" s="276"/>
      <c r="R27" s="277"/>
      <c r="S27" s="275">
        <v>0</v>
      </c>
      <c r="T27" s="276"/>
      <c r="U27" s="276"/>
      <c r="V27" s="277"/>
      <c r="W27" s="153">
        <f t="shared" si="1"/>
        <v>0</v>
      </c>
      <c r="X27" s="154"/>
      <c r="Y27" s="154"/>
      <c r="Z27" s="155"/>
      <c r="AA27" s="132">
        <f>AG20*W20/100</f>
        <v>0</v>
      </c>
      <c r="AB27" s="233"/>
      <c r="AC27" s="233"/>
      <c r="AD27" s="233"/>
      <c r="AE27" s="233"/>
      <c r="AF27" s="233"/>
      <c r="AG27" s="233"/>
      <c r="AH27" s="233"/>
      <c r="AI27" s="233"/>
    </row>
    <row r="28" spans="1:35" ht="12.75">
      <c r="A28" s="219"/>
      <c r="B28" s="125" t="s">
        <v>30</v>
      </c>
      <c r="C28" s="126"/>
      <c r="D28" s="126"/>
      <c r="E28" s="126"/>
      <c r="F28" s="161"/>
      <c r="G28" s="156">
        <f>G21/100*$Q$2+($AT$5+$AG28*$E$5)/2</f>
        <v>42.615</v>
      </c>
      <c r="H28" s="157"/>
      <c r="I28" s="157"/>
      <c r="J28" s="158"/>
      <c r="K28" s="156">
        <f>K21/100*$Q$2+($AT$5+$AG28*$E$5)/2</f>
        <v>42.615</v>
      </c>
      <c r="L28" s="157"/>
      <c r="M28" s="157"/>
      <c r="N28" s="158"/>
      <c r="O28" s="246">
        <f>O21/100*$L$2</f>
        <v>0</v>
      </c>
      <c r="P28" s="247"/>
      <c r="Q28" s="247"/>
      <c r="R28" s="248"/>
      <c r="S28" s="246">
        <f>S21/100*$L$2</f>
        <v>0</v>
      </c>
      <c r="T28" s="247"/>
      <c r="U28" s="247"/>
      <c r="V28" s="248"/>
      <c r="W28" s="153">
        <f t="shared" si="1"/>
        <v>85.23</v>
      </c>
      <c r="X28" s="154"/>
      <c r="Y28" s="154"/>
      <c r="Z28" s="155"/>
      <c r="AA28" s="283" t="s">
        <v>161</v>
      </c>
      <c r="AB28" s="233"/>
      <c r="AC28" s="233"/>
      <c r="AD28" s="233"/>
      <c r="AE28" s="233"/>
      <c r="AF28" s="233"/>
      <c r="AG28" s="233">
        <v>18</v>
      </c>
      <c r="AH28" s="233"/>
      <c r="AI28" s="233"/>
    </row>
    <row r="29" spans="1:26" ht="12.75">
      <c r="A29" s="219"/>
      <c r="B29" s="125" t="s">
        <v>44</v>
      </c>
      <c r="C29" s="126"/>
      <c r="D29" s="126"/>
      <c r="E29" s="126"/>
      <c r="F29" s="161"/>
      <c r="G29" s="156">
        <f>G28-G25-G24</f>
        <v>-3.884999999999998</v>
      </c>
      <c r="H29" s="157"/>
      <c r="I29" s="157"/>
      <c r="J29" s="158"/>
      <c r="K29" s="160">
        <f>K28-K25-K24</f>
        <v>6.115000000000002</v>
      </c>
      <c r="L29" s="157"/>
      <c r="M29" s="157"/>
      <c r="N29" s="158"/>
      <c r="O29" s="246">
        <f>O28-O25-O24</f>
        <v>0</v>
      </c>
      <c r="P29" s="247"/>
      <c r="Q29" s="247"/>
      <c r="R29" s="248"/>
      <c r="S29" s="246">
        <f>S28-S25-S24</f>
        <v>0</v>
      </c>
      <c r="T29" s="247"/>
      <c r="U29" s="247"/>
      <c r="V29" s="248"/>
      <c r="W29" s="153">
        <f t="shared" si="1"/>
        <v>2.230000000000004</v>
      </c>
      <c r="X29" s="154"/>
      <c r="Y29" s="154"/>
      <c r="Z29" s="155"/>
    </row>
    <row r="30" spans="1:26" ht="12.75" customHeight="1">
      <c r="A30" s="219"/>
      <c r="B30" s="125" t="s">
        <v>45</v>
      </c>
      <c r="C30" s="126"/>
      <c r="D30" s="126"/>
      <c r="E30" s="126"/>
      <c r="F30" s="161"/>
      <c r="G30" s="156">
        <f>G29+G27</f>
        <v>-3.884999999999998</v>
      </c>
      <c r="H30" s="157"/>
      <c r="I30" s="157"/>
      <c r="J30" s="158"/>
      <c r="K30" s="160">
        <f>K29+K27</f>
        <v>6.115000000000002</v>
      </c>
      <c r="L30" s="157"/>
      <c r="M30" s="157"/>
      <c r="N30" s="158"/>
      <c r="O30" s="246">
        <f>O29+O27</f>
        <v>0</v>
      </c>
      <c r="P30" s="247"/>
      <c r="Q30" s="247"/>
      <c r="R30" s="248"/>
      <c r="S30" s="246">
        <f>S29+S27</f>
        <v>0</v>
      </c>
      <c r="T30" s="247"/>
      <c r="U30" s="247"/>
      <c r="V30" s="248"/>
      <c r="W30" s="153">
        <f t="shared" si="1"/>
        <v>2.230000000000004</v>
      </c>
      <c r="X30" s="154"/>
      <c r="Y30" s="154"/>
      <c r="Z30" s="155"/>
    </row>
    <row r="31" spans="1:26" ht="12.75">
      <c r="A31" s="219"/>
      <c r="B31" s="194" t="s">
        <v>26</v>
      </c>
      <c r="C31" s="98"/>
      <c r="D31" s="98"/>
      <c r="E31" s="98"/>
      <c r="F31" s="195"/>
      <c r="G31" s="196">
        <f>$AG23/100*$AL$3</f>
        <v>0.4460000000000008</v>
      </c>
      <c r="H31" s="197"/>
      <c r="I31" s="197"/>
      <c r="J31" s="198"/>
      <c r="K31" s="196">
        <f>$AG23/100*$AL$4</f>
        <v>0.4460000000000008</v>
      </c>
      <c r="L31" s="197"/>
      <c r="M31" s="197"/>
      <c r="N31" s="198"/>
      <c r="O31" s="137">
        <v>0</v>
      </c>
      <c r="P31" s="138"/>
      <c r="Q31" s="138"/>
      <c r="R31" s="139"/>
      <c r="S31" s="137">
        <v>0</v>
      </c>
      <c r="T31" s="138"/>
      <c r="U31" s="138"/>
      <c r="V31" s="139"/>
      <c r="W31" s="153">
        <f t="shared" si="1"/>
        <v>0.8920000000000016</v>
      </c>
      <c r="X31" s="154"/>
      <c r="Y31" s="154"/>
      <c r="Z31" s="155"/>
    </row>
    <row r="32" spans="1:44" ht="13.5" thickBot="1">
      <c r="A32" s="220"/>
      <c r="B32" s="191" t="s">
        <v>28</v>
      </c>
      <c r="C32" s="192"/>
      <c r="D32" s="192"/>
      <c r="E32" s="192"/>
      <c r="F32" s="193"/>
      <c r="G32" s="149">
        <f>IF(G31&lt;0,G24,G24+G31)</f>
        <v>30.446</v>
      </c>
      <c r="H32" s="147"/>
      <c r="I32" s="147"/>
      <c r="J32" s="148"/>
      <c r="K32" s="146">
        <f>IF(K31&lt;0,K24,K24+K31)</f>
        <v>20.446</v>
      </c>
      <c r="L32" s="147"/>
      <c r="M32" s="147"/>
      <c r="N32" s="148"/>
      <c r="O32" s="255">
        <f>IF(O31&lt;0,O24,O24+O31)</f>
        <v>0</v>
      </c>
      <c r="P32" s="256"/>
      <c r="Q32" s="256"/>
      <c r="R32" s="257"/>
      <c r="S32" s="255">
        <f>IF(S31&lt;0,S24,S24+S31)</f>
        <v>0</v>
      </c>
      <c r="T32" s="256"/>
      <c r="U32" s="256"/>
      <c r="V32" s="257"/>
      <c r="W32" s="150">
        <f t="shared" si="1"/>
        <v>50.892</v>
      </c>
      <c r="X32" s="151"/>
      <c r="Y32" s="151"/>
      <c r="Z32" s="152"/>
      <c r="AR32" s="2" t="s">
        <v>155</v>
      </c>
    </row>
    <row r="33" spans="1:35" ht="12.75" customHeight="1">
      <c r="A33" s="188" t="s">
        <v>63</v>
      </c>
      <c r="B33" s="93" t="s">
        <v>23</v>
      </c>
      <c r="C33" s="94"/>
      <c r="D33" s="94"/>
      <c r="E33" s="94"/>
      <c r="F33" s="199"/>
      <c r="G33" s="185">
        <v>2940</v>
      </c>
      <c r="H33" s="183"/>
      <c r="I33" s="183"/>
      <c r="J33" s="184"/>
      <c r="K33" s="185">
        <v>2940</v>
      </c>
      <c r="L33" s="183"/>
      <c r="M33" s="183"/>
      <c r="N33" s="184"/>
      <c r="O33" s="242">
        <v>0</v>
      </c>
      <c r="P33" s="243"/>
      <c r="Q33" s="243"/>
      <c r="R33" s="244"/>
      <c r="S33" s="242">
        <v>0</v>
      </c>
      <c r="T33" s="243"/>
      <c r="U33" s="243"/>
      <c r="V33" s="244"/>
      <c r="W33" s="170">
        <f>SUM(G33:V33)</f>
        <v>5880</v>
      </c>
      <c r="X33" s="171"/>
      <c r="Y33" s="171"/>
      <c r="Z33" s="172"/>
      <c r="AA33" s="236" t="s">
        <v>53</v>
      </c>
      <c r="AB33" s="94"/>
      <c r="AC33" s="94"/>
      <c r="AD33" s="94"/>
      <c r="AE33" s="94"/>
      <c r="AF33" s="94"/>
      <c r="AG33" s="269">
        <v>0</v>
      </c>
      <c r="AH33" s="270"/>
      <c r="AI33" s="271"/>
    </row>
    <row r="34" spans="1:35" ht="12.75">
      <c r="A34" s="187"/>
      <c r="B34" s="125" t="s">
        <v>24</v>
      </c>
      <c r="C34" s="126"/>
      <c r="D34" s="126"/>
      <c r="E34" s="126"/>
      <c r="F34" s="161"/>
      <c r="G34" s="239">
        <v>2940</v>
      </c>
      <c r="H34" s="240"/>
      <c r="I34" s="240"/>
      <c r="J34" s="241"/>
      <c r="K34" s="239">
        <v>2940</v>
      </c>
      <c r="L34" s="240"/>
      <c r="M34" s="240"/>
      <c r="N34" s="241"/>
      <c r="O34" s="239">
        <v>0</v>
      </c>
      <c r="P34" s="240"/>
      <c r="Q34" s="240"/>
      <c r="R34" s="241"/>
      <c r="S34" s="239">
        <v>0</v>
      </c>
      <c r="T34" s="240"/>
      <c r="U34" s="240"/>
      <c r="V34" s="241"/>
      <c r="W34" s="153">
        <f aca="true" t="shared" si="2" ref="W34:W45">G34+K34+O34+S34</f>
        <v>5880</v>
      </c>
      <c r="X34" s="154"/>
      <c r="Y34" s="154"/>
      <c r="Z34" s="155"/>
      <c r="AA34" s="205" t="s">
        <v>54</v>
      </c>
      <c r="AB34" s="126"/>
      <c r="AC34" s="126"/>
      <c r="AD34" s="126"/>
      <c r="AE34" s="126"/>
      <c r="AF34" s="126"/>
      <c r="AG34" s="278">
        <v>0</v>
      </c>
      <c r="AH34" s="278"/>
      <c r="AI34" s="279"/>
    </row>
    <row r="35" spans="1:35" ht="12.75">
      <c r="A35" s="187"/>
      <c r="B35" s="125" t="s">
        <v>29</v>
      </c>
      <c r="C35" s="126"/>
      <c r="D35" s="126"/>
      <c r="E35" s="126"/>
      <c r="F35" s="161"/>
      <c r="G35" s="156">
        <v>30</v>
      </c>
      <c r="H35" s="157"/>
      <c r="I35" s="157"/>
      <c r="J35" s="158"/>
      <c r="K35" s="156">
        <v>20</v>
      </c>
      <c r="L35" s="157"/>
      <c r="M35" s="157"/>
      <c r="N35" s="158"/>
      <c r="O35" s="156">
        <f>O34*0.005</f>
        <v>0</v>
      </c>
      <c r="P35" s="157"/>
      <c r="Q35" s="157"/>
      <c r="R35" s="158"/>
      <c r="S35" s="156">
        <f>S34*0.005</f>
        <v>0</v>
      </c>
      <c r="T35" s="157"/>
      <c r="U35" s="157"/>
      <c r="V35" s="158"/>
      <c r="W35" s="153">
        <f t="shared" si="2"/>
        <v>50</v>
      </c>
      <c r="X35" s="154"/>
      <c r="Y35" s="154"/>
      <c r="Z35" s="155"/>
      <c r="AA35" s="205" t="s">
        <v>55</v>
      </c>
      <c r="AB35" s="126"/>
      <c r="AC35" s="126"/>
      <c r="AD35" s="126"/>
      <c r="AE35" s="126"/>
      <c r="AF35" s="126"/>
      <c r="AG35" s="134">
        <f>AG34</f>
        <v>0</v>
      </c>
      <c r="AH35" s="134"/>
      <c r="AI35" s="135"/>
    </row>
    <row r="36" spans="1:35" ht="12.75">
      <c r="A36" s="187"/>
      <c r="B36" s="125" t="s">
        <v>10</v>
      </c>
      <c r="C36" s="126"/>
      <c r="D36" s="126"/>
      <c r="E36" s="126"/>
      <c r="F36" s="161"/>
      <c r="G36" s="169">
        <v>30</v>
      </c>
      <c r="H36" s="167"/>
      <c r="I36" s="167"/>
      <c r="J36" s="168"/>
      <c r="K36" s="166">
        <v>20</v>
      </c>
      <c r="L36" s="167"/>
      <c r="M36" s="167"/>
      <c r="N36" s="168"/>
      <c r="O36" s="239">
        <v>0</v>
      </c>
      <c r="P36" s="240"/>
      <c r="Q36" s="240"/>
      <c r="R36" s="241"/>
      <c r="S36" s="239">
        <v>0</v>
      </c>
      <c r="T36" s="240"/>
      <c r="U36" s="240"/>
      <c r="V36" s="241"/>
      <c r="W36" s="153">
        <f t="shared" si="2"/>
        <v>50</v>
      </c>
      <c r="X36" s="154"/>
      <c r="Y36" s="154"/>
      <c r="Z36" s="155"/>
      <c r="AA36" s="205" t="s">
        <v>56</v>
      </c>
      <c r="AB36" s="126"/>
      <c r="AC36" s="126"/>
      <c r="AD36" s="126"/>
      <c r="AE36" s="126"/>
      <c r="AF36" s="126"/>
      <c r="AG36" s="134">
        <f>W43+AG35</f>
        <v>12.579999999999998</v>
      </c>
      <c r="AH36" s="134"/>
      <c r="AI36" s="135"/>
    </row>
    <row r="37" spans="1:35" ht="13.5" thickBot="1">
      <c r="A37" s="187"/>
      <c r="B37" s="125" t="s">
        <v>58</v>
      </c>
      <c r="C37" s="126"/>
      <c r="D37" s="126"/>
      <c r="E37" s="126"/>
      <c r="F37" s="161"/>
      <c r="G37" s="156">
        <f>IF(G35&lt;G36,G36,G35)</f>
        <v>30</v>
      </c>
      <c r="H37" s="157"/>
      <c r="I37" s="157"/>
      <c r="J37" s="158"/>
      <c r="K37" s="160">
        <f>IF(K35&lt;K36,K36,K35)</f>
        <v>20</v>
      </c>
      <c r="L37" s="157"/>
      <c r="M37" s="157"/>
      <c r="N37" s="158"/>
      <c r="O37" s="246">
        <f>IF(O35&lt;O36,O36,O35)</f>
        <v>0</v>
      </c>
      <c r="P37" s="247"/>
      <c r="Q37" s="247"/>
      <c r="R37" s="248"/>
      <c r="S37" s="246">
        <f>IF(S35&lt;S36,S36,S35)</f>
        <v>0</v>
      </c>
      <c r="T37" s="247"/>
      <c r="U37" s="247"/>
      <c r="V37" s="248"/>
      <c r="W37" s="153">
        <f t="shared" si="2"/>
        <v>50</v>
      </c>
      <c r="X37" s="154"/>
      <c r="Y37" s="154"/>
      <c r="Z37" s="155"/>
      <c r="AA37" s="232" t="s">
        <v>57</v>
      </c>
      <c r="AB37" s="90"/>
      <c r="AC37" s="90"/>
      <c r="AD37" s="90"/>
      <c r="AE37" s="90"/>
      <c r="AF37" s="90"/>
      <c r="AG37" s="91">
        <f>-AG35+AG36-W44</f>
        <v>7.547999999999998</v>
      </c>
      <c r="AH37" s="91"/>
      <c r="AI37" s="85"/>
    </row>
    <row r="38" spans="1:35" ht="13.5" thickBot="1">
      <c r="A38" s="187"/>
      <c r="B38" s="125" t="s">
        <v>41</v>
      </c>
      <c r="C38" s="126"/>
      <c r="D38" s="126"/>
      <c r="E38" s="126"/>
      <c r="F38" s="161"/>
      <c r="G38" s="156">
        <v>16.5</v>
      </c>
      <c r="H38" s="157"/>
      <c r="I38" s="157"/>
      <c r="J38" s="158"/>
      <c r="K38" s="156">
        <v>16.5</v>
      </c>
      <c r="L38" s="157"/>
      <c r="M38" s="157"/>
      <c r="N38" s="158"/>
      <c r="O38" s="246">
        <v>0</v>
      </c>
      <c r="P38" s="247"/>
      <c r="Q38" s="247"/>
      <c r="R38" s="248"/>
      <c r="S38" s="246">
        <v>0</v>
      </c>
      <c r="T38" s="247"/>
      <c r="U38" s="247"/>
      <c r="V38" s="248"/>
      <c r="W38" s="153">
        <f t="shared" si="2"/>
        <v>33</v>
      </c>
      <c r="X38" s="154"/>
      <c r="Y38" s="154"/>
      <c r="Z38" s="155"/>
      <c r="AA38" s="230" t="s">
        <v>59</v>
      </c>
      <c r="AB38" s="231"/>
      <c r="AC38" s="231"/>
      <c r="AD38" s="231"/>
      <c r="AE38" s="231"/>
      <c r="AF38" s="231"/>
      <c r="AG38" s="266">
        <f>AG34+AG37</f>
        <v>7.547999999999998</v>
      </c>
      <c r="AH38" s="267"/>
      <c r="AI38" s="268"/>
    </row>
    <row r="39" spans="1:35" ht="12.75">
      <c r="A39" s="187"/>
      <c r="B39" s="125" t="s">
        <v>42</v>
      </c>
      <c r="C39" s="126"/>
      <c r="D39" s="126"/>
      <c r="E39" s="126"/>
      <c r="F39" s="161"/>
      <c r="G39" s="169">
        <v>16.5</v>
      </c>
      <c r="H39" s="167"/>
      <c r="I39" s="167"/>
      <c r="J39" s="168"/>
      <c r="K39" s="169">
        <v>16.5</v>
      </c>
      <c r="L39" s="167"/>
      <c r="M39" s="167"/>
      <c r="N39" s="168"/>
      <c r="O39" s="239">
        <v>0</v>
      </c>
      <c r="P39" s="240"/>
      <c r="Q39" s="240"/>
      <c r="R39" s="241"/>
      <c r="S39" s="239">
        <v>0</v>
      </c>
      <c r="T39" s="240"/>
      <c r="U39" s="240"/>
      <c r="V39" s="241"/>
      <c r="W39" s="153">
        <f t="shared" si="2"/>
        <v>33</v>
      </c>
      <c r="X39" s="154"/>
      <c r="Y39" s="154"/>
      <c r="Z39" s="155"/>
      <c r="AA39" s="136">
        <f>(W38+W37)/W34*100-$L$2</f>
        <v>1.4115646258503403</v>
      </c>
      <c r="AB39" s="136"/>
      <c r="AC39" s="136"/>
      <c r="AD39" s="136"/>
      <c r="AE39" s="136"/>
      <c r="AF39" s="136"/>
      <c r="AG39" s="136"/>
      <c r="AH39" s="136"/>
      <c r="AI39" s="136"/>
    </row>
    <row r="40" spans="1:35" ht="12.75">
      <c r="A40" s="187"/>
      <c r="B40" s="125" t="s">
        <v>43</v>
      </c>
      <c r="C40" s="126"/>
      <c r="D40" s="126"/>
      <c r="E40" s="126"/>
      <c r="F40" s="161"/>
      <c r="G40" s="165">
        <f>G38-G39</f>
        <v>0</v>
      </c>
      <c r="H40" s="163"/>
      <c r="I40" s="163"/>
      <c r="J40" s="164"/>
      <c r="K40" s="162">
        <f>K38-K39</f>
        <v>0</v>
      </c>
      <c r="L40" s="163"/>
      <c r="M40" s="163"/>
      <c r="N40" s="164"/>
      <c r="O40" s="275">
        <f>O38-O39</f>
        <v>0</v>
      </c>
      <c r="P40" s="276"/>
      <c r="Q40" s="276"/>
      <c r="R40" s="277"/>
      <c r="S40" s="275">
        <v>0</v>
      </c>
      <c r="T40" s="276"/>
      <c r="U40" s="276"/>
      <c r="V40" s="277"/>
      <c r="W40" s="153">
        <f t="shared" si="2"/>
        <v>0</v>
      </c>
      <c r="X40" s="154"/>
      <c r="Y40" s="154"/>
      <c r="Z40" s="155"/>
      <c r="AA40" s="132">
        <f>AG33*W33/100</f>
        <v>0</v>
      </c>
      <c r="AB40" s="233"/>
      <c r="AC40" s="233"/>
      <c r="AD40" s="233"/>
      <c r="AE40" s="233"/>
      <c r="AF40" s="233"/>
      <c r="AG40" s="233"/>
      <c r="AH40" s="233"/>
      <c r="AI40" s="233"/>
    </row>
    <row r="41" spans="1:35" ht="12.75">
      <c r="A41" s="187"/>
      <c r="B41" s="125" t="s">
        <v>30</v>
      </c>
      <c r="C41" s="126"/>
      <c r="D41" s="126"/>
      <c r="E41" s="126"/>
      <c r="F41" s="161"/>
      <c r="G41" s="156">
        <f>G34/100*$Q$2+($AT$5+$AG41*$E$5)/2</f>
        <v>47.79</v>
      </c>
      <c r="H41" s="157"/>
      <c r="I41" s="157"/>
      <c r="J41" s="158"/>
      <c r="K41" s="156">
        <f>K34/100*$Q$2+($AT$5+$AG41*$E$5)/2</f>
        <v>47.79</v>
      </c>
      <c r="L41" s="157"/>
      <c r="M41" s="157"/>
      <c r="N41" s="158"/>
      <c r="O41" s="246">
        <f>O34/100*$L$2</f>
        <v>0</v>
      </c>
      <c r="P41" s="247"/>
      <c r="Q41" s="247"/>
      <c r="R41" s="248"/>
      <c r="S41" s="246">
        <f>S34/100*$L$2</f>
        <v>0</v>
      </c>
      <c r="T41" s="247"/>
      <c r="U41" s="247"/>
      <c r="V41" s="248"/>
      <c r="W41" s="153">
        <f t="shared" si="2"/>
        <v>95.58</v>
      </c>
      <c r="X41" s="154"/>
      <c r="Y41" s="154"/>
      <c r="Z41" s="155"/>
      <c r="AA41" s="283" t="s">
        <v>161</v>
      </c>
      <c r="AB41" s="233"/>
      <c r="AC41" s="233"/>
      <c r="AD41" s="233"/>
      <c r="AE41" s="233"/>
      <c r="AF41" s="233"/>
      <c r="AG41" s="233">
        <v>19</v>
      </c>
      <c r="AH41" s="233"/>
      <c r="AI41" s="233"/>
    </row>
    <row r="42" spans="1:26" ht="12.75">
      <c r="A42" s="187"/>
      <c r="B42" s="125" t="s">
        <v>44</v>
      </c>
      <c r="C42" s="126"/>
      <c r="D42" s="126"/>
      <c r="E42" s="126"/>
      <c r="F42" s="161"/>
      <c r="G42" s="156">
        <f>G41-G38-G37</f>
        <v>1.2899999999999991</v>
      </c>
      <c r="H42" s="157"/>
      <c r="I42" s="157"/>
      <c r="J42" s="158"/>
      <c r="K42" s="160">
        <f>K41-K38-K37</f>
        <v>11.29</v>
      </c>
      <c r="L42" s="157"/>
      <c r="M42" s="157"/>
      <c r="N42" s="158"/>
      <c r="O42" s="246">
        <f>O41-O38-O37</f>
        <v>0</v>
      </c>
      <c r="P42" s="247"/>
      <c r="Q42" s="247"/>
      <c r="R42" s="248"/>
      <c r="S42" s="246">
        <f>S41-S38-S37</f>
        <v>0</v>
      </c>
      <c r="T42" s="247"/>
      <c r="U42" s="247"/>
      <c r="V42" s="248"/>
      <c r="W42" s="153">
        <f t="shared" si="2"/>
        <v>12.579999999999998</v>
      </c>
      <c r="X42" s="154"/>
      <c r="Y42" s="154"/>
      <c r="Z42" s="155"/>
    </row>
    <row r="43" spans="1:26" ht="12.75" customHeight="1">
      <c r="A43" s="187"/>
      <c r="B43" s="125" t="s">
        <v>45</v>
      </c>
      <c r="C43" s="126"/>
      <c r="D43" s="126"/>
      <c r="E43" s="126"/>
      <c r="F43" s="161"/>
      <c r="G43" s="156">
        <f>G42+G40</f>
        <v>1.2899999999999991</v>
      </c>
      <c r="H43" s="157"/>
      <c r="I43" s="157"/>
      <c r="J43" s="158"/>
      <c r="K43" s="160">
        <f>K42+K40</f>
        <v>11.29</v>
      </c>
      <c r="L43" s="157"/>
      <c r="M43" s="157"/>
      <c r="N43" s="158"/>
      <c r="O43" s="246">
        <f>O42+O40</f>
        <v>0</v>
      </c>
      <c r="P43" s="247"/>
      <c r="Q43" s="247"/>
      <c r="R43" s="248"/>
      <c r="S43" s="246">
        <f>S42+S40</f>
        <v>0</v>
      </c>
      <c r="T43" s="247"/>
      <c r="U43" s="247"/>
      <c r="V43" s="248"/>
      <c r="W43" s="153">
        <f t="shared" si="2"/>
        <v>12.579999999999998</v>
      </c>
      <c r="X43" s="154"/>
      <c r="Y43" s="154"/>
      <c r="Z43" s="155"/>
    </row>
    <row r="44" spans="1:26" ht="12.75">
      <c r="A44" s="187"/>
      <c r="B44" s="194" t="s">
        <v>26</v>
      </c>
      <c r="C44" s="98"/>
      <c r="D44" s="98"/>
      <c r="E44" s="98"/>
      <c r="F44" s="195"/>
      <c r="G44" s="196">
        <f>$AG36/100*$AL$3</f>
        <v>2.516</v>
      </c>
      <c r="H44" s="197"/>
      <c r="I44" s="197"/>
      <c r="J44" s="198"/>
      <c r="K44" s="196">
        <f>$AG36/100*$AL$4</f>
        <v>2.516</v>
      </c>
      <c r="L44" s="197"/>
      <c r="M44" s="197"/>
      <c r="N44" s="198"/>
      <c r="O44" s="137">
        <v>0</v>
      </c>
      <c r="P44" s="138"/>
      <c r="Q44" s="138"/>
      <c r="R44" s="139"/>
      <c r="S44" s="137">
        <v>0</v>
      </c>
      <c r="T44" s="138"/>
      <c r="U44" s="138"/>
      <c r="V44" s="139"/>
      <c r="W44" s="153">
        <f t="shared" si="2"/>
        <v>5.032</v>
      </c>
      <c r="X44" s="154"/>
      <c r="Y44" s="154"/>
      <c r="Z44" s="155"/>
    </row>
    <row r="45" spans="1:26" ht="13.5" thickBot="1">
      <c r="A45" s="187"/>
      <c r="B45" s="191" t="s">
        <v>28</v>
      </c>
      <c r="C45" s="192"/>
      <c r="D45" s="192"/>
      <c r="E45" s="192"/>
      <c r="F45" s="193"/>
      <c r="G45" s="149">
        <f>IF(G44&lt;0,G37,G37+G44)</f>
        <v>32.516</v>
      </c>
      <c r="H45" s="147"/>
      <c r="I45" s="147"/>
      <c r="J45" s="148"/>
      <c r="K45" s="146">
        <f>IF(K44&lt;0,K37,K37+K44)</f>
        <v>22.516</v>
      </c>
      <c r="L45" s="147"/>
      <c r="M45" s="147"/>
      <c r="N45" s="148"/>
      <c r="O45" s="255">
        <f>IF(O44&lt;0,O37,O37+O44)</f>
        <v>0</v>
      </c>
      <c r="P45" s="256"/>
      <c r="Q45" s="256"/>
      <c r="R45" s="257"/>
      <c r="S45" s="255">
        <f>IF(S44&lt;0,S37,S37+S44)</f>
        <v>0</v>
      </c>
      <c r="T45" s="256"/>
      <c r="U45" s="256"/>
      <c r="V45" s="257"/>
      <c r="W45" s="150">
        <f t="shared" si="2"/>
        <v>55.032</v>
      </c>
      <c r="X45" s="151"/>
      <c r="Y45" s="151"/>
      <c r="Z45" s="152"/>
    </row>
    <row r="46" spans="1:35" ht="12.75" customHeight="1">
      <c r="A46" s="188" t="s">
        <v>64</v>
      </c>
      <c r="B46" s="93" t="s">
        <v>23</v>
      </c>
      <c r="C46" s="94"/>
      <c r="D46" s="94"/>
      <c r="E46" s="94"/>
      <c r="F46" s="199"/>
      <c r="G46" s="185">
        <v>4140</v>
      </c>
      <c r="H46" s="183"/>
      <c r="I46" s="183"/>
      <c r="J46" s="184"/>
      <c r="K46" s="185">
        <v>4140</v>
      </c>
      <c r="L46" s="183"/>
      <c r="M46" s="183"/>
      <c r="N46" s="184"/>
      <c r="O46" s="242">
        <v>0</v>
      </c>
      <c r="P46" s="243"/>
      <c r="Q46" s="243"/>
      <c r="R46" s="244"/>
      <c r="S46" s="242">
        <v>0</v>
      </c>
      <c r="T46" s="243"/>
      <c r="U46" s="243"/>
      <c r="V46" s="244"/>
      <c r="W46" s="170">
        <f>SUM(G46:V46)</f>
        <v>8280</v>
      </c>
      <c r="X46" s="171"/>
      <c r="Y46" s="171"/>
      <c r="Z46" s="172"/>
      <c r="AA46" s="236" t="s">
        <v>53</v>
      </c>
      <c r="AB46" s="94"/>
      <c r="AC46" s="94"/>
      <c r="AD46" s="94"/>
      <c r="AE46" s="94"/>
      <c r="AF46" s="94"/>
      <c r="AG46" s="269">
        <v>0</v>
      </c>
      <c r="AH46" s="270"/>
      <c r="AI46" s="271"/>
    </row>
    <row r="47" spans="1:35" ht="12.75">
      <c r="A47" s="187"/>
      <c r="B47" s="125" t="s">
        <v>24</v>
      </c>
      <c r="C47" s="126"/>
      <c r="D47" s="126"/>
      <c r="E47" s="126"/>
      <c r="F47" s="161"/>
      <c r="G47" s="179">
        <v>4140</v>
      </c>
      <c r="H47" s="177"/>
      <c r="I47" s="177"/>
      <c r="J47" s="178"/>
      <c r="K47" s="179">
        <v>4140</v>
      </c>
      <c r="L47" s="177"/>
      <c r="M47" s="177"/>
      <c r="N47" s="178"/>
      <c r="O47" s="239">
        <v>0</v>
      </c>
      <c r="P47" s="240"/>
      <c r="Q47" s="240"/>
      <c r="R47" s="241"/>
      <c r="S47" s="239">
        <v>0</v>
      </c>
      <c r="T47" s="240"/>
      <c r="U47" s="240"/>
      <c r="V47" s="241"/>
      <c r="W47" s="153">
        <f aca="true" t="shared" si="3" ref="W47:W58">G47+K47+O47+S47</f>
        <v>8280</v>
      </c>
      <c r="X47" s="154"/>
      <c r="Y47" s="154"/>
      <c r="Z47" s="155"/>
      <c r="AA47" s="205" t="s">
        <v>54</v>
      </c>
      <c r="AB47" s="126"/>
      <c r="AC47" s="126"/>
      <c r="AD47" s="126"/>
      <c r="AE47" s="126"/>
      <c r="AF47" s="126"/>
      <c r="AG47" s="278">
        <v>0</v>
      </c>
      <c r="AH47" s="278"/>
      <c r="AI47" s="279"/>
    </row>
    <row r="48" spans="1:35" ht="12.75">
      <c r="A48" s="187"/>
      <c r="B48" s="125" t="s">
        <v>29</v>
      </c>
      <c r="C48" s="126"/>
      <c r="D48" s="126"/>
      <c r="E48" s="126"/>
      <c r="F48" s="161"/>
      <c r="G48" s="156">
        <v>30</v>
      </c>
      <c r="H48" s="157"/>
      <c r="I48" s="157"/>
      <c r="J48" s="158"/>
      <c r="K48" s="156">
        <v>20</v>
      </c>
      <c r="L48" s="157"/>
      <c r="M48" s="157"/>
      <c r="N48" s="158"/>
      <c r="O48" s="156">
        <f>O47*0.005</f>
        <v>0</v>
      </c>
      <c r="P48" s="157"/>
      <c r="Q48" s="157"/>
      <c r="R48" s="158"/>
      <c r="S48" s="156">
        <f>S47*0.005</f>
        <v>0</v>
      </c>
      <c r="T48" s="157"/>
      <c r="U48" s="157"/>
      <c r="V48" s="158"/>
      <c r="W48" s="153">
        <f t="shared" si="3"/>
        <v>50</v>
      </c>
      <c r="X48" s="154"/>
      <c r="Y48" s="154"/>
      <c r="Z48" s="155"/>
      <c r="AA48" s="205" t="s">
        <v>55</v>
      </c>
      <c r="AB48" s="126"/>
      <c r="AC48" s="126"/>
      <c r="AD48" s="126"/>
      <c r="AE48" s="126"/>
      <c r="AF48" s="126"/>
      <c r="AG48" s="134">
        <f>AG47</f>
        <v>0</v>
      </c>
      <c r="AH48" s="134"/>
      <c r="AI48" s="135"/>
    </row>
    <row r="49" spans="1:35" ht="12.75">
      <c r="A49" s="187"/>
      <c r="B49" s="125" t="s">
        <v>10</v>
      </c>
      <c r="C49" s="126"/>
      <c r="D49" s="126"/>
      <c r="E49" s="126"/>
      <c r="F49" s="161"/>
      <c r="G49" s="169">
        <v>30</v>
      </c>
      <c r="H49" s="167"/>
      <c r="I49" s="167"/>
      <c r="J49" s="168"/>
      <c r="K49" s="166">
        <v>20</v>
      </c>
      <c r="L49" s="167"/>
      <c r="M49" s="167"/>
      <c r="N49" s="168"/>
      <c r="O49" s="239">
        <v>0</v>
      </c>
      <c r="P49" s="240"/>
      <c r="Q49" s="240"/>
      <c r="R49" s="241"/>
      <c r="S49" s="239">
        <v>0</v>
      </c>
      <c r="T49" s="240"/>
      <c r="U49" s="240"/>
      <c r="V49" s="241"/>
      <c r="W49" s="153">
        <f t="shared" si="3"/>
        <v>50</v>
      </c>
      <c r="X49" s="154"/>
      <c r="Y49" s="154"/>
      <c r="Z49" s="155"/>
      <c r="AA49" s="205" t="s">
        <v>56</v>
      </c>
      <c r="AB49" s="126"/>
      <c r="AC49" s="126"/>
      <c r="AD49" s="126"/>
      <c r="AE49" s="126"/>
      <c r="AF49" s="126"/>
      <c r="AG49" s="134">
        <f>W56+AG48</f>
        <v>23.97999999999999</v>
      </c>
      <c r="AH49" s="134"/>
      <c r="AI49" s="135"/>
    </row>
    <row r="50" spans="1:35" ht="13.5" thickBot="1">
      <c r="A50" s="187"/>
      <c r="B50" s="125" t="s">
        <v>58</v>
      </c>
      <c r="C50" s="126"/>
      <c r="D50" s="126"/>
      <c r="E50" s="126"/>
      <c r="F50" s="161"/>
      <c r="G50" s="156">
        <f>IF(G48&lt;G49,G49,G48)</f>
        <v>30</v>
      </c>
      <c r="H50" s="157"/>
      <c r="I50" s="157"/>
      <c r="J50" s="158"/>
      <c r="K50" s="160">
        <f>IF(K48&lt;K49,K49,K48)</f>
        <v>20</v>
      </c>
      <c r="L50" s="157"/>
      <c r="M50" s="157"/>
      <c r="N50" s="158"/>
      <c r="O50" s="246">
        <f>IF(O48&lt;O49,O49,O48)</f>
        <v>0</v>
      </c>
      <c r="P50" s="247"/>
      <c r="Q50" s="247"/>
      <c r="R50" s="248"/>
      <c r="S50" s="246">
        <f>IF(S48&lt;S49,S49,S48)</f>
        <v>0</v>
      </c>
      <c r="T50" s="247"/>
      <c r="U50" s="247"/>
      <c r="V50" s="248"/>
      <c r="W50" s="153">
        <f t="shared" si="3"/>
        <v>50</v>
      </c>
      <c r="X50" s="154"/>
      <c r="Y50" s="154"/>
      <c r="Z50" s="155"/>
      <c r="AA50" s="232" t="s">
        <v>57</v>
      </c>
      <c r="AB50" s="90"/>
      <c r="AC50" s="90"/>
      <c r="AD50" s="90"/>
      <c r="AE50" s="90"/>
      <c r="AF50" s="90"/>
      <c r="AG50" s="91">
        <f>-AG48+AG49-W57</f>
        <v>14.387999999999995</v>
      </c>
      <c r="AH50" s="91"/>
      <c r="AI50" s="85"/>
    </row>
    <row r="51" spans="1:35" ht="13.5" thickBot="1">
      <c r="A51" s="187"/>
      <c r="B51" s="125" t="s">
        <v>41</v>
      </c>
      <c r="C51" s="126"/>
      <c r="D51" s="126"/>
      <c r="E51" s="126"/>
      <c r="F51" s="161"/>
      <c r="G51" s="156">
        <v>16.5</v>
      </c>
      <c r="H51" s="157"/>
      <c r="I51" s="157"/>
      <c r="J51" s="158"/>
      <c r="K51" s="156">
        <v>16.5</v>
      </c>
      <c r="L51" s="157"/>
      <c r="M51" s="157"/>
      <c r="N51" s="158"/>
      <c r="O51" s="246">
        <v>0</v>
      </c>
      <c r="P51" s="247"/>
      <c r="Q51" s="247"/>
      <c r="R51" s="248"/>
      <c r="S51" s="246">
        <v>0</v>
      </c>
      <c r="T51" s="247"/>
      <c r="U51" s="247"/>
      <c r="V51" s="248"/>
      <c r="W51" s="153">
        <f t="shared" si="3"/>
        <v>33</v>
      </c>
      <c r="X51" s="154"/>
      <c r="Y51" s="154"/>
      <c r="Z51" s="155"/>
      <c r="AA51" s="230" t="s">
        <v>59</v>
      </c>
      <c r="AB51" s="231"/>
      <c r="AC51" s="231"/>
      <c r="AD51" s="231"/>
      <c r="AE51" s="231"/>
      <c r="AF51" s="231"/>
      <c r="AG51" s="266">
        <f>AG47+AG50</f>
        <v>14.387999999999995</v>
      </c>
      <c r="AH51" s="267"/>
      <c r="AI51" s="268"/>
    </row>
    <row r="52" spans="1:35" ht="12.75">
      <c r="A52" s="187"/>
      <c r="B52" s="125" t="s">
        <v>42</v>
      </c>
      <c r="C52" s="126"/>
      <c r="D52" s="126"/>
      <c r="E52" s="126"/>
      <c r="F52" s="161"/>
      <c r="G52" s="169">
        <v>16.5</v>
      </c>
      <c r="H52" s="167"/>
      <c r="I52" s="167"/>
      <c r="J52" s="168"/>
      <c r="K52" s="169">
        <v>16.5</v>
      </c>
      <c r="L52" s="167"/>
      <c r="M52" s="167"/>
      <c r="N52" s="168"/>
      <c r="O52" s="239">
        <v>0</v>
      </c>
      <c r="P52" s="240"/>
      <c r="Q52" s="240"/>
      <c r="R52" s="241"/>
      <c r="S52" s="239">
        <v>0</v>
      </c>
      <c r="T52" s="240"/>
      <c r="U52" s="240"/>
      <c r="V52" s="241"/>
      <c r="W52" s="153">
        <f t="shared" si="3"/>
        <v>33</v>
      </c>
      <c r="X52" s="154"/>
      <c r="Y52" s="154"/>
      <c r="Z52" s="155"/>
      <c r="AA52" s="136">
        <f>(W51+W50)/W47*100-$L$2</f>
        <v>1.002415458937198</v>
      </c>
      <c r="AB52" s="136"/>
      <c r="AC52" s="136"/>
      <c r="AD52" s="136"/>
      <c r="AE52" s="136"/>
      <c r="AF52" s="136"/>
      <c r="AG52" s="136"/>
      <c r="AH52" s="136"/>
      <c r="AI52" s="136"/>
    </row>
    <row r="53" spans="1:35" ht="12.75">
      <c r="A53" s="187"/>
      <c r="B53" s="125" t="s">
        <v>43</v>
      </c>
      <c r="C53" s="126"/>
      <c r="D53" s="126"/>
      <c r="E53" s="126"/>
      <c r="F53" s="161"/>
      <c r="G53" s="165">
        <f>G51-G52</f>
        <v>0</v>
      </c>
      <c r="H53" s="163"/>
      <c r="I53" s="163"/>
      <c r="J53" s="164"/>
      <c r="K53" s="162">
        <f>K51-K52</f>
        <v>0</v>
      </c>
      <c r="L53" s="163"/>
      <c r="M53" s="163"/>
      <c r="N53" s="164"/>
      <c r="O53" s="275">
        <f>O51-O52</f>
        <v>0</v>
      </c>
      <c r="P53" s="276"/>
      <c r="Q53" s="276"/>
      <c r="R53" s="277"/>
      <c r="S53" s="275">
        <v>0</v>
      </c>
      <c r="T53" s="276"/>
      <c r="U53" s="276"/>
      <c r="V53" s="277"/>
      <c r="W53" s="153">
        <f t="shared" si="3"/>
        <v>0</v>
      </c>
      <c r="X53" s="154"/>
      <c r="Y53" s="154"/>
      <c r="Z53" s="155"/>
      <c r="AA53" s="132">
        <f>AG46*W46/100</f>
        <v>0</v>
      </c>
      <c r="AB53" s="233"/>
      <c r="AC53" s="233"/>
      <c r="AD53" s="233"/>
      <c r="AE53" s="233"/>
      <c r="AF53" s="233"/>
      <c r="AG53" s="233"/>
      <c r="AH53" s="233"/>
      <c r="AI53" s="233"/>
    </row>
    <row r="54" spans="1:35" ht="12.75">
      <c r="A54" s="187"/>
      <c r="B54" s="125" t="s">
        <v>30</v>
      </c>
      <c r="C54" s="126"/>
      <c r="D54" s="126"/>
      <c r="E54" s="126"/>
      <c r="F54" s="161"/>
      <c r="G54" s="156">
        <f>G47/100*$Q$2+($AT$5+$AG54*$E$5)/2</f>
        <v>53.489999999999995</v>
      </c>
      <c r="H54" s="157"/>
      <c r="I54" s="157"/>
      <c r="J54" s="158"/>
      <c r="K54" s="156">
        <f>K47/100*$Q$2+($AT$5+$AG54*$E$5)/2</f>
        <v>53.489999999999995</v>
      </c>
      <c r="L54" s="157"/>
      <c r="M54" s="157"/>
      <c r="N54" s="158"/>
      <c r="O54" s="246">
        <f>O47/100*$L$2</f>
        <v>0</v>
      </c>
      <c r="P54" s="247"/>
      <c r="Q54" s="247"/>
      <c r="R54" s="248"/>
      <c r="S54" s="246">
        <f>S47/100*$L$2</f>
        <v>0</v>
      </c>
      <c r="T54" s="247"/>
      <c r="U54" s="247"/>
      <c r="V54" s="248"/>
      <c r="W54" s="153">
        <f t="shared" si="3"/>
        <v>106.97999999999999</v>
      </c>
      <c r="X54" s="154"/>
      <c r="Y54" s="154"/>
      <c r="Z54" s="155"/>
      <c r="AA54" s="283" t="s">
        <v>161</v>
      </c>
      <c r="AB54" s="233"/>
      <c r="AC54" s="233"/>
      <c r="AD54" s="233"/>
      <c r="AE54" s="233"/>
      <c r="AF54" s="233"/>
      <c r="AG54" s="233">
        <v>20</v>
      </c>
      <c r="AH54" s="233"/>
      <c r="AI54" s="233"/>
    </row>
    <row r="55" spans="1:26" ht="12.75">
      <c r="A55" s="187"/>
      <c r="B55" s="125" t="s">
        <v>44</v>
      </c>
      <c r="C55" s="126"/>
      <c r="D55" s="126"/>
      <c r="E55" s="126"/>
      <c r="F55" s="161"/>
      <c r="G55" s="156">
        <f>G54-G51-G50</f>
        <v>6.989999999999995</v>
      </c>
      <c r="H55" s="157"/>
      <c r="I55" s="157"/>
      <c r="J55" s="158"/>
      <c r="K55" s="160">
        <f>K54-K51-K50</f>
        <v>16.989999999999995</v>
      </c>
      <c r="L55" s="157"/>
      <c r="M55" s="157"/>
      <c r="N55" s="158"/>
      <c r="O55" s="246">
        <f>O54-O51-O50</f>
        <v>0</v>
      </c>
      <c r="P55" s="247"/>
      <c r="Q55" s="247"/>
      <c r="R55" s="248"/>
      <c r="S55" s="246">
        <f>S54-S51-S50</f>
        <v>0</v>
      </c>
      <c r="T55" s="247"/>
      <c r="U55" s="247"/>
      <c r="V55" s="248"/>
      <c r="W55" s="153">
        <f t="shared" si="3"/>
        <v>23.97999999999999</v>
      </c>
      <c r="X55" s="154"/>
      <c r="Y55" s="154"/>
      <c r="Z55" s="155"/>
    </row>
    <row r="56" spans="1:26" ht="12.75" customHeight="1">
      <c r="A56" s="187"/>
      <c r="B56" s="125" t="s">
        <v>45</v>
      </c>
      <c r="C56" s="126"/>
      <c r="D56" s="126"/>
      <c r="E56" s="126"/>
      <c r="F56" s="161"/>
      <c r="G56" s="156">
        <f>G55+G53</f>
        <v>6.989999999999995</v>
      </c>
      <c r="H56" s="157"/>
      <c r="I56" s="157"/>
      <c r="J56" s="158"/>
      <c r="K56" s="160">
        <f>K55+K53</f>
        <v>16.989999999999995</v>
      </c>
      <c r="L56" s="157"/>
      <c r="M56" s="157"/>
      <c r="N56" s="158"/>
      <c r="O56" s="246">
        <f>O55+O53</f>
        <v>0</v>
      </c>
      <c r="P56" s="247"/>
      <c r="Q56" s="247"/>
      <c r="R56" s="248"/>
      <c r="S56" s="246">
        <f>S55+S53</f>
        <v>0</v>
      </c>
      <c r="T56" s="247"/>
      <c r="U56" s="247"/>
      <c r="V56" s="248"/>
      <c r="W56" s="153">
        <f t="shared" si="3"/>
        <v>23.97999999999999</v>
      </c>
      <c r="X56" s="154"/>
      <c r="Y56" s="154"/>
      <c r="Z56" s="155"/>
    </row>
    <row r="57" spans="1:26" ht="12.75">
      <c r="A57" s="187"/>
      <c r="B57" s="194" t="s">
        <v>26</v>
      </c>
      <c r="C57" s="98"/>
      <c r="D57" s="98"/>
      <c r="E57" s="98"/>
      <c r="F57" s="195"/>
      <c r="G57" s="196">
        <f>$AG49/100*$AL$3</f>
        <v>4.795999999999998</v>
      </c>
      <c r="H57" s="197"/>
      <c r="I57" s="197"/>
      <c r="J57" s="198"/>
      <c r="K57" s="196">
        <f>$AG49/100*$AL$4</f>
        <v>4.795999999999998</v>
      </c>
      <c r="L57" s="197"/>
      <c r="M57" s="197"/>
      <c r="N57" s="198"/>
      <c r="O57" s="137">
        <v>0</v>
      </c>
      <c r="P57" s="138"/>
      <c r="Q57" s="138"/>
      <c r="R57" s="139"/>
      <c r="S57" s="137">
        <v>0</v>
      </c>
      <c r="T57" s="138"/>
      <c r="U57" s="138"/>
      <c r="V57" s="139"/>
      <c r="W57" s="153">
        <f t="shared" si="3"/>
        <v>9.591999999999995</v>
      </c>
      <c r="X57" s="154"/>
      <c r="Y57" s="154"/>
      <c r="Z57" s="155"/>
    </row>
    <row r="58" spans="1:26" ht="13.5" thickBot="1">
      <c r="A58" s="187"/>
      <c r="B58" s="191" t="s">
        <v>28</v>
      </c>
      <c r="C58" s="192"/>
      <c r="D58" s="192"/>
      <c r="E58" s="192"/>
      <c r="F58" s="193"/>
      <c r="G58" s="149">
        <f>IF(G57&lt;0,G50,G50+G57)</f>
        <v>34.796</v>
      </c>
      <c r="H58" s="147"/>
      <c r="I58" s="147"/>
      <c r="J58" s="148"/>
      <c r="K58" s="146">
        <f>IF(K57&lt;0,K50,K50+K57)</f>
        <v>24.796</v>
      </c>
      <c r="L58" s="147"/>
      <c r="M58" s="147"/>
      <c r="N58" s="148"/>
      <c r="O58" s="255">
        <f>IF(O57&lt;0,O50,O50+O57)</f>
        <v>0</v>
      </c>
      <c r="P58" s="256"/>
      <c r="Q58" s="256"/>
      <c r="R58" s="257"/>
      <c r="S58" s="255">
        <f>IF(S57&lt;0,S50,S50+S57)</f>
        <v>0</v>
      </c>
      <c r="T58" s="256"/>
      <c r="U58" s="256"/>
      <c r="V58" s="257"/>
      <c r="W58" s="150">
        <f t="shared" si="3"/>
        <v>59.592</v>
      </c>
      <c r="X58" s="151"/>
      <c r="Y58" s="151"/>
      <c r="Z58" s="152"/>
    </row>
    <row r="59" spans="1:35" ht="12.75" customHeight="1">
      <c r="A59" s="188" t="s">
        <v>65</v>
      </c>
      <c r="B59" s="93" t="s">
        <v>23</v>
      </c>
      <c r="C59" s="94"/>
      <c r="D59" s="94"/>
      <c r="E59" s="94"/>
      <c r="F59" s="199"/>
      <c r="G59" s="185">
        <v>5470</v>
      </c>
      <c r="H59" s="183"/>
      <c r="I59" s="183"/>
      <c r="J59" s="184"/>
      <c r="K59" s="182">
        <v>5470</v>
      </c>
      <c r="L59" s="183"/>
      <c r="M59" s="183"/>
      <c r="N59" s="184"/>
      <c r="O59" s="242">
        <v>0</v>
      </c>
      <c r="P59" s="243"/>
      <c r="Q59" s="243"/>
      <c r="R59" s="244"/>
      <c r="S59" s="242">
        <v>0</v>
      </c>
      <c r="T59" s="243"/>
      <c r="U59" s="243"/>
      <c r="V59" s="244"/>
      <c r="W59" s="170">
        <f>SUM(G59:V59)</f>
        <v>10940</v>
      </c>
      <c r="X59" s="171"/>
      <c r="Y59" s="171"/>
      <c r="Z59" s="172"/>
      <c r="AA59" s="236" t="s">
        <v>53</v>
      </c>
      <c r="AB59" s="94"/>
      <c r="AC59" s="94"/>
      <c r="AD59" s="94"/>
      <c r="AE59" s="94"/>
      <c r="AF59" s="94"/>
      <c r="AG59" s="269">
        <v>0</v>
      </c>
      <c r="AH59" s="270"/>
      <c r="AI59" s="271"/>
    </row>
    <row r="60" spans="1:35" ht="12.75">
      <c r="A60" s="187"/>
      <c r="B60" s="125" t="s">
        <v>24</v>
      </c>
      <c r="C60" s="126"/>
      <c r="D60" s="126"/>
      <c r="E60" s="126"/>
      <c r="F60" s="161"/>
      <c r="G60" s="239">
        <v>5470</v>
      </c>
      <c r="H60" s="240"/>
      <c r="I60" s="240"/>
      <c r="J60" s="241"/>
      <c r="K60" s="166">
        <v>5470</v>
      </c>
      <c r="L60" s="167"/>
      <c r="M60" s="167"/>
      <c r="N60" s="168"/>
      <c r="O60" s="239">
        <v>0</v>
      </c>
      <c r="P60" s="240"/>
      <c r="Q60" s="240"/>
      <c r="R60" s="241"/>
      <c r="S60" s="239">
        <v>0</v>
      </c>
      <c r="T60" s="240"/>
      <c r="U60" s="240"/>
      <c r="V60" s="241"/>
      <c r="W60" s="153">
        <f aca="true" t="shared" si="4" ref="W60:W71">G60+K60+O60+S60</f>
        <v>10940</v>
      </c>
      <c r="X60" s="154"/>
      <c r="Y60" s="154"/>
      <c r="Z60" s="155"/>
      <c r="AA60" s="205" t="s">
        <v>54</v>
      </c>
      <c r="AB60" s="126"/>
      <c r="AC60" s="126"/>
      <c r="AD60" s="126"/>
      <c r="AE60" s="126"/>
      <c r="AF60" s="126"/>
      <c r="AG60" s="278">
        <v>0</v>
      </c>
      <c r="AH60" s="278"/>
      <c r="AI60" s="279"/>
    </row>
    <row r="61" spans="1:35" ht="12.75">
      <c r="A61" s="187"/>
      <c r="B61" s="125" t="s">
        <v>29</v>
      </c>
      <c r="C61" s="126"/>
      <c r="D61" s="126"/>
      <c r="E61" s="126"/>
      <c r="F61" s="161"/>
      <c r="G61" s="156">
        <v>30</v>
      </c>
      <c r="H61" s="157"/>
      <c r="I61" s="157"/>
      <c r="J61" s="158"/>
      <c r="K61" s="156">
        <v>20</v>
      </c>
      <c r="L61" s="157"/>
      <c r="M61" s="157"/>
      <c r="N61" s="158"/>
      <c r="O61" s="156">
        <f>O60*0.005</f>
        <v>0</v>
      </c>
      <c r="P61" s="157"/>
      <c r="Q61" s="157"/>
      <c r="R61" s="158"/>
      <c r="S61" s="156">
        <f>S60*0.005</f>
        <v>0</v>
      </c>
      <c r="T61" s="157"/>
      <c r="U61" s="157"/>
      <c r="V61" s="158"/>
      <c r="W61" s="153">
        <f t="shared" si="4"/>
        <v>50</v>
      </c>
      <c r="X61" s="154"/>
      <c r="Y61" s="154"/>
      <c r="Z61" s="155"/>
      <c r="AA61" s="205" t="s">
        <v>55</v>
      </c>
      <c r="AB61" s="126"/>
      <c r="AC61" s="126"/>
      <c r="AD61" s="126"/>
      <c r="AE61" s="126"/>
      <c r="AF61" s="126"/>
      <c r="AG61" s="134">
        <f>AG60</f>
        <v>0</v>
      </c>
      <c r="AH61" s="134"/>
      <c r="AI61" s="135"/>
    </row>
    <row r="62" spans="1:35" ht="12.75">
      <c r="A62" s="187"/>
      <c r="B62" s="125" t="s">
        <v>10</v>
      </c>
      <c r="C62" s="126"/>
      <c r="D62" s="126"/>
      <c r="E62" s="126"/>
      <c r="F62" s="161"/>
      <c r="G62" s="169">
        <v>30</v>
      </c>
      <c r="H62" s="167"/>
      <c r="I62" s="167"/>
      <c r="J62" s="168"/>
      <c r="K62" s="166">
        <v>20</v>
      </c>
      <c r="L62" s="167"/>
      <c r="M62" s="167"/>
      <c r="N62" s="168"/>
      <c r="O62" s="239">
        <v>0</v>
      </c>
      <c r="P62" s="240"/>
      <c r="Q62" s="240"/>
      <c r="R62" s="241"/>
      <c r="S62" s="239">
        <v>0</v>
      </c>
      <c r="T62" s="240"/>
      <c r="U62" s="240"/>
      <c r="V62" s="241"/>
      <c r="W62" s="153">
        <f t="shared" si="4"/>
        <v>50</v>
      </c>
      <c r="X62" s="154"/>
      <c r="Y62" s="154"/>
      <c r="Z62" s="155"/>
      <c r="AA62" s="205" t="s">
        <v>56</v>
      </c>
      <c r="AB62" s="126"/>
      <c r="AC62" s="126"/>
      <c r="AD62" s="126"/>
      <c r="AE62" s="126"/>
      <c r="AF62" s="126"/>
      <c r="AG62" s="134">
        <f>W69+AG61</f>
        <v>33.28999999999999</v>
      </c>
      <c r="AH62" s="134"/>
      <c r="AI62" s="135"/>
    </row>
    <row r="63" spans="1:35" ht="13.5" thickBot="1">
      <c r="A63" s="187"/>
      <c r="B63" s="125" t="s">
        <v>58</v>
      </c>
      <c r="C63" s="126"/>
      <c r="D63" s="126"/>
      <c r="E63" s="126"/>
      <c r="F63" s="161"/>
      <c r="G63" s="156">
        <f>IF(G61&lt;G62,G62,G61)</f>
        <v>30</v>
      </c>
      <c r="H63" s="157"/>
      <c r="I63" s="157"/>
      <c r="J63" s="158"/>
      <c r="K63" s="160">
        <f>IF(K61&lt;K62,K62,K61)</f>
        <v>20</v>
      </c>
      <c r="L63" s="157"/>
      <c r="M63" s="157"/>
      <c r="N63" s="158"/>
      <c r="O63" s="246">
        <f>IF(O61&lt;O62,O62,O61)</f>
        <v>0</v>
      </c>
      <c r="P63" s="247"/>
      <c r="Q63" s="247"/>
      <c r="R63" s="248"/>
      <c r="S63" s="246">
        <f>IF(S61&lt;S62,S62,S61)</f>
        <v>0</v>
      </c>
      <c r="T63" s="247"/>
      <c r="U63" s="247"/>
      <c r="V63" s="248"/>
      <c r="W63" s="153">
        <f t="shared" si="4"/>
        <v>50</v>
      </c>
      <c r="X63" s="154"/>
      <c r="Y63" s="154"/>
      <c r="Z63" s="155"/>
      <c r="AA63" s="232" t="s">
        <v>57</v>
      </c>
      <c r="AB63" s="90"/>
      <c r="AC63" s="90"/>
      <c r="AD63" s="90"/>
      <c r="AE63" s="90"/>
      <c r="AF63" s="90"/>
      <c r="AG63" s="91">
        <f>-AG61+AG62-W70</f>
        <v>19.973999999999997</v>
      </c>
      <c r="AH63" s="91"/>
      <c r="AI63" s="85"/>
    </row>
    <row r="64" spans="1:35" ht="13.5" thickBot="1">
      <c r="A64" s="187"/>
      <c r="B64" s="125" t="s">
        <v>41</v>
      </c>
      <c r="C64" s="126"/>
      <c r="D64" s="126"/>
      <c r="E64" s="126"/>
      <c r="F64" s="161"/>
      <c r="G64" s="156">
        <v>16.5</v>
      </c>
      <c r="H64" s="157"/>
      <c r="I64" s="157"/>
      <c r="J64" s="158"/>
      <c r="K64" s="156">
        <v>16.5</v>
      </c>
      <c r="L64" s="157"/>
      <c r="M64" s="157"/>
      <c r="N64" s="158"/>
      <c r="O64" s="246">
        <v>0</v>
      </c>
      <c r="P64" s="247"/>
      <c r="Q64" s="247"/>
      <c r="R64" s="248"/>
      <c r="S64" s="246">
        <v>0</v>
      </c>
      <c r="T64" s="247"/>
      <c r="U64" s="247"/>
      <c r="V64" s="248"/>
      <c r="W64" s="153">
        <f t="shared" si="4"/>
        <v>33</v>
      </c>
      <c r="X64" s="154"/>
      <c r="Y64" s="154"/>
      <c r="Z64" s="155"/>
      <c r="AA64" s="230" t="s">
        <v>59</v>
      </c>
      <c r="AB64" s="231"/>
      <c r="AC64" s="231"/>
      <c r="AD64" s="231"/>
      <c r="AE64" s="231"/>
      <c r="AF64" s="231"/>
      <c r="AG64" s="266">
        <f>AG60+AG63</f>
        <v>19.973999999999997</v>
      </c>
      <c r="AH64" s="267"/>
      <c r="AI64" s="268"/>
    </row>
    <row r="65" spans="1:35" ht="12.75">
      <c r="A65" s="187"/>
      <c r="B65" s="125" t="s">
        <v>42</v>
      </c>
      <c r="C65" s="126"/>
      <c r="D65" s="126"/>
      <c r="E65" s="126"/>
      <c r="F65" s="161"/>
      <c r="G65" s="169">
        <v>16.5</v>
      </c>
      <c r="H65" s="167"/>
      <c r="I65" s="167"/>
      <c r="J65" s="168"/>
      <c r="K65" s="169">
        <v>16.5</v>
      </c>
      <c r="L65" s="167"/>
      <c r="M65" s="167"/>
      <c r="N65" s="168"/>
      <c r="O65" s="239">
        <v>0</v>
      </c>
      <c r="P65" s="240"/>
      <c r="Q65" s="240"/>
      <c r="R65" s="241"/>
      <c r="S65" s="239">
        <v>0</v>
      </c>
      <c r="T65" s="240"/>
      <c r="U65" s="240"/>
      <c r="V65" s="241"/>
      <c r="W65" s="153">
        <f t="shared" si="4"/>
        <v>33</v>
      </c>
      <c r="X65" s="154"/>
      <c r="Y65" s="154"/>
      <c r="Z65" s="155"/>
      <c r="AA65" s="136">
        <f>(W64+W63)/W60*100-$L$2</f>
        <v>0.7586837294332724</v>
      </c>
      <c r="AB65" s="136"/>
      <c r="AC65" s="136"/>
      <c r="AD65" s="136"/>
      <c r="AE65" s="136"/>
      <c r="AF65" s="136"/>
      <c r="AG65" s="136"/>
      <c r="AH65" s="136"/>
      <c r="AI65" s="136"/>
    </row>
    <row r="66" spans="1:35" ht="12.75">
      <c r="A66" s="187"/>
      <c r="B66" s="125" t="s">
        <v>43</v>
      </c>
      <c r="C66" s="126"/>
      <c r="D66" s="126"/>
      <c r="E66" s="126"/>
      <c r="F66" s="161"/>
      <c r="G66" s="165">
        <f>G64-G65</f>
        <v>0</v>
      </c>
      <c r="H66" s="163"/>
      <c r="I66" s="163"/>
      <c r="J66" s="164"/>
      <c r="K66" s="162">
        <f>K64-K65</f>
        <v>0</v>
      </c>
      <c r="L66" s="163"/>
      <c r="M66" s="163"/>
      <c r="N66" s="164"/>
      <c r="O66" s="275">
        <f>O64-O65</f>
        <v>0</v>
      </c>
      <c r="P66" s="276"/>
      <c r="Q66" s="276"/>
      <c r="R66" s="277"/>
      <c r="S66" s="275">
        <v>0</v>
      </c>
      <c r="T66" s="276"/>
      <c r="U66" s="276"/>
      <c r="V66" s="277"/>
      <c r="W66" s="153">
        <f t="shared" si="4"/>
        <v>0</v>
      </c>
      <c r="X66" s="154"/>
      <c r="Y66" s="154"/>
      <c r="Z66" s="155"/>
      <c r="AA66" s="132">
        <f>AG59*W59/100</f>
        <v>0</v>
      </c>
      <c r="AB66" s="233"/>
      <c r="AC66" s="233"/>
      <c r="AD66" s="233"/>
      <c r="AE66" s="233"/>
      <c r="AF66" s="233"/>
      <c r="AG66" s="233"/>
      <c r="AH66" s="233"/>
      <c r="AI66" s="233"/>
    </row>
    <row r="67" spans="1:35" ht="12.75">
      <c r="A67" s="187"/>
      <c r="B67" s="125" t="s">
        <v>30</v>
      </c>
      <c r="C67" s="126"/>
      <c r="D67" s="126"/>
      <c r="E67" s="126"/>
      <c r="F67" s="161"/>
      <c r="G67" s="156">
        <f>G60/100*$Q$2+($AT$5+$AG67*$E$5)/2</f>
        <v>58.144999999999996</v>
      </c>
      <c r="H67" s="157"/>
      <c r="I67" s="157"/>
      <c r="J67" s="158"/>
      <c r="K67" s="156">
        <f>K60/100*$Q$2+($AT$5+$AG67*$E$5)/2</f>
        <v>58.144999999999996</v>
      </c>
      <c r="L67" s="157"/>
      <c r="M67" s="157"/>
      <c r="N67" s="158"/>
      <c r="O67" s="246">
        <f>O60/100*$L$2</f>
        <v>0</v>
      </c>
      <c r="P67" s="247"/>
      <c r="Q67" s="247"/>
      <c r="R67" s="248"/>
      <c r="S67" s="246">
        <f>S60/100*$L$2</f>
        <v>0</v>
      </c>
      <c r="T67" s="247"/>
      <c r="U67" s="247"/>
      <c r="V67" s="248"/>
      <c r="W67" s="153">
        <f t="shared" si="4"/>
        <v>116.28999999999999</v>
      </c>
      <c r="X67" s="154"/>
      <c r="Y67" s="154"/>
      <c r="Z67" s="155"/>
      <c r="AA67" s="283" t="s">
        <v>161</v>
      </c>
      <c r="AB67" s="233"/>
      <c r="AC67" s="233"/>
      <c r="AD67" s="233"/>
      <c r="AE67" s="233"/>
      <c r="AF67" s="233"/>
      <c r="AG67" s="233">
        <v>20</v>
      </c>
      <c r="AH67" s="233"/>
      <c r="AI67" s="233"/>
    </row>
    <row r="68" spans="1:26" ht="12.75">
      <c r="A68" s="187"/>
      <c r="B68" s="125" t="s">
        <v>44</v>
      </c>
      <c r="C68" s="126"/>
      <c r="D68" s="126"/>
      <c r="E68" s="126"/>
      <c r="F68" s="161"/>
      <c r="G68" s="156">
        <f>G67-G64-G63</f>
        <v>11.644999999999996</v>
      </c>
      <c r="H68" s="157"/>
      <c r="I68" s="157"/>
      <c r="J68" s="158"/>
      <c r="K68" s="160">
        <f>K67-K64-K63</f>
        <v>21.644999999999996</v>
      </c>
      <c r="L68" s="157"/>
      <c r="M68" s="157"/>
      <c r="N68" s="158"/>
      <c r="O68" s="246">
        <f>O67-O64-O63</f>
        <v>0</v>
      </c>
      <c r="P68" s="247"/>
      <c r="Q68" s="247"/>
      <c r="R68" s="248"/>
      <c r="S68" s="246">
        <f>S67-S64-S63</f>
        <v>0</v>
      </c>
      <c r="T68" s="247"/>
      <c r="U68" s="247"/>
      <c r="V68" s="248"/>
      <c r="W68" s="153">
        <f t="shared" si="4"/>
        <v>33.28999999999999</v>
      </c>
      <c r="X68" s="154"/>
      <c r="Y68" s="154"/>
      <c r="Z68" s="155"/>
    </row>
    <row r="69" spans="1:26" ht="12.75">
      <c r="A69" s="187"/>
      <c r="B69" s="125" t="s">
        <v>45</v>
      </c>
      <c r="C69" s="126"/>
      <c r="D69" s="126"/>
      <c r="E69" s="126"/>
      <c r="F69" s="161"/>
      <c r="G69" s="156">
        <f>G68+G66</f>
        <v>11.644999999999996</v>
      </c>
      <c r="H69" s="157"/>
      <c r="I69" s="157"/>
      <c r="J69" s="158"/>
      <c r="K69" s="160">
        <f>K68+K66</f>
        <v>21.644999999999996</v>
      </c>
      <c r="L69" s="157"/>
      <c r="M69" s="157"/>
      <c r="N69" s="158"/>
      <c r="O69" s="246">
        <f>O68+O66</f>
        <v>0</v>
      </c>
      <c r="P69" s="247"/>
      <c r="Q69" s="247"/>
      <c r="R69" s="248"/>
      <c r="S69" s="246">
        <f>S68+S66</f>
        <v>0</v>
      </c>
      <c r="T69" s="247"/>
      <c r="U69" s="247"/>
      <c r="V69" s="248"/>
      <c r="W69" s="153">
        <f t="shared" si="4"/>
        <v>33.28999999999999</v>
      </c>
      <c r="X69" s="154"/>
      <c r="Y69" s="154"/>
      <c r="Z69" s="155"/>
    </row>
    <row r="70" spans="1:26" ht="12.75">
      <c r="A70" s="187"/>
      <c r="B70" s="194" t="s">
        <v>26</v>
      </c>
      <c r="C70" s="98"/>
      <c r="D70" s="98"/>
      <c r="E70" s="98"/>
      <c r="F70" s="195"/>
      <c r="G70" s="196">
        <f>$AG62/100*$AL$3</f>
        <v>6.657999999999999</v>
      </c>
      <c r="H70" s="197"/>
      <c r="I70" s="197"/>
      <c r="J70" s="198"/>
      <c r="K70" s="196">
        <f>$AG62/100*$AL$4</f>
        <v>6.657999999999999</v>
      </c>
      <c r="L70" s="197"/>
      <c r="M70" s="197"/>
      <c r="N70" s="198"/>
      <c r="O70" s="137">
        <v>0</v>
      </c>
      <c r="P70" s="138"/>
      <c r="Q70" s="138"/>
      <c r="R70" s="139"/>
      <c r="S70" s="137">
        <v>0</v>
      </c>
      <c r="T70" s="138"/>
      <c r="U70" s="138"/>
      <c r="V70" s="139"/>
      <c r="W70" s="153">
        <f t="shared" si="4"/>
        <v>13.315999999999997</v>
      </c>
      <c r="X70" s="154"/>
      <c r="Y70" s="154"/>
      <c r="Z70" s="155"/>
    </row>
    <row r="71" spans="1:26" ht="13.5" thickBot="1">
      <c r="A71" s="189"/>
      <c r="B71" s="191" t="s">
        <v>28</v>
      </c>
      <c r="C71" s="192"/>
      <c r="D71" s="192"/>
      <c r="E71" s="192"/>
      <c r="F71" s="193"/>
      <c r="G71" s="149">
        <f>IF(G70&lt;0,G63,G63+G70)</f>
        <v>36.658</v>
      </c>
      <c r="H71" s="147"/>
      <c r="I71" s="147"/>
      <c r="J71" s="148"/>
      <c r="K71" s="146">
        <f>IF(K70&lt;0,K63,K63+K70)</f>
        <v>26.657999999999998</v>
      </c>
      <c r="L71" s="147"/>
      <c r="M71" s="147"/>
      <c r="N71" s="148"/>
      <c r="O71" s="255">
        <f>IF(O70&lt;0,O63,O63+O70)</f>
        <v>0</v>
      </c>
      <c r="P71" s="256"/>
      <c r="Q71" s="256"/>
      <c r="R71" s="257"/>
      <c r="S71" s="255">
        <f>IF(S70&lt;0,S63,S63+S70)</f>
        <v>0</v>
      </c>
      <c r="T71" s="256"/>
      <c r="U71" s="256"/>
      <c r="V71" s="257"/>
      <c r="W71" s="150">
        <f t="shared" si="4"/>
        <v>63.316</v>
      </c>
      <c r="X71" s="151"/>
      <c r="Y71" s="151"/>
      <c r="Z71" s="152"/>
    </row>
    <row r="72" spans="1:35" ht="12.75" customHeight="1">
      <c r="A72" s="140" t="s">
        <v>66</v>
      </c>
      <c r="B72" s="93" t="s">
        <v>23</v>
      </c>
      <c r="C72" s="94"/>
      <c r="D72" s="94"/>
      <c r="E72" s="94"/>
      <c r="F72" s="199"/>
      <c r="G72" s="185">
        <v>6500</v>
      </c>
      <c r="H72" s="183"/>
      <c r="I72" s="183"/>
      <c r="J72" s="184"/>
      <c r="K72" s="182">
        <v>6500</v>
      </c>
      <c r="L72" s="183"/>
      <c r="M72" s="183"/>
      <c r="N72" s="184"/>
      <c r="O72" s="242">
        <v>0</v>
      </c>
      <c r="P72" s="243"/>
      <c r="Q72" s="243"/>
      <c r="R72" s="244"/>
      <c r="S72" s="242">
        <v>0</v>
      </c>
      <c r="T72" s="243"/>
      <c r="U72" s="243"/>
      <c r="V72" s="244"/>
      <c r="W72" s="170">
        <f>SUM(G72:V72)</f>
        <v>13000</v>
      </c>
      <c r="X72" s="171"/>
      <c r="Y72" s="171"/>
      <c r="Z72" s="172"/>
      <c r="AA72" s="236" t="s">
        <v>53</v>
      </c>
      <c r="AB72" s="94"/>
      <c r="AC72" s="94"/>
      <c r="AD72" s="94"/>
      <c r="AE72" s="94"/>
      <c r="AF72" s="94"/>
      <c r="AG72" s="269">
        <v>0</v>
      </c>
      <c r="AH72" s="270"/>
      <c r="AI72" s="271"/>
    </row>
    <row r="73" spans="1:35" ht="12.75">
      <c r="A73" s="141"/>
      <c r="B73" s="125" t="s">
        <v>24</v>
      </c>
      <c r="C73" s="126"/>
      <c r="D73" s="126"/>
      <c r="E73" s="126"/>
      <c r="F73" s="161"/>
      <c r="G73" s="239">
        <v>6500</v>
      </c>
      <c r="H73" s="240"/>
      <c r="I73" s="240"/>
      <c r="J73" s="241"/>
      <c r="K73" s="166">
        <v>6500</v>
      </c>
      <c r="L73" s="167"/>
      <c r="M73" s="167"/>
      <c r="N73" s="168"/>
      <c r="O73" s="239">
        <v>0</v>
      </c>
      <c r="P73" s="240"/>
      <c r="Q73" s="240"/>
      <c r="R73" s="241"/>
      <c r="S73" s="239">
        <v>0</v>
      </c>
      <c r="T73" s="240"/>
      <c r="U73" s="240"/>
      <c r="V73" s="241"/>
      <c r="W73" s="153">
        <f aca="true" t="shared" si="5" ref="W73:W84">G73+K73+O73+S73</f>
        <v>13000</v>
      </c>
      <c r="X73" s="154"/>
      <c r="Y73" s="154"/>
      <c r="Z73" s="155"/>
      <c r="AA73" s="205" t="s">
        <v>54</v>
      </c>
      <c r="AB73" s="126"/>
      <c r="AC73" s="126"/>
      <c r="AD73" s="126"/>
      <c r="AE73" s="126"/>
      <c r="AF73" s="126"/>
      <c r="AG73" s="278">
        <v>0</v>
      </c>
      <c r="AH73" s="278"/>
      <c r="AI73" s="279"/>
    </row>
    <row r="74" spans="1:35" ht="12.75">
      <c r="A74" s="141"/>
      <c r="B74" s="125" t="s">
        <v>29</v>
      </c>
      <c r="C74" s="126"/>
      <c r="D74" s="126"/>
      <c r="E74" s="126"/>
      <c r="F74" s="161"/>
      <c r="G74" s="156">
        <v>30</v>
      </c>
      <c r="H74" s="157"/>
      <c r="I74" s="157"/>
      <c r="J74" s="158"/>
      <c r="K74" s="156">
        <v>20</v>
      </c>
      <c r="L74" s="157"/>
      <c r="M74" s="157"/>
      <c r="N74" s="158"/>
      <c r="O74" s="156">
        <f>O73*0.005</f>
        <v>0</v>
      </c>
      <c r="P74" s="157"/>
      <c r="Q74" s="157"/>
      <c r="R74" s="158"/>
      <c r="S74" s="156">
        <f>S73*0.005</f>
        <v>0</v>
      </c>
      <c r="T74" s="157"/>
      <c r="U74" s="157"/>
      <c r="V74" s="158"/>
      <c r="W74" s="153">
        <f t="shared" si="5"/>
        <v>50</v>
      </c>
      <c r="X74" s="154"/>
      <c r="Y74" s="154"/>
      <c r="Z74" s="155"/>
      <c r="AA74" s="205" t="s">
        <v>55</v>
      </c>
      <c r="AB74" s="126"/>
      <c r="AC74" s="126"/>
      <c r="AD74" s="126"/>
      <c r="AE74" s="126"/>
      <c r="AF74" s="126"/>
      <c r="AG74" s="134">
        <f>AG73</f>
        <v>0</v>
      </c>
      <c r="AH74" s="134"/>
      <c r="AI74" s="135"/>
    </row>
    <row r="75" spans="1:35" ht="12.75">
      <c r="A75" s="141"/>
      <c r="B75" s="125" t="s">
        <v>10</v>
      </c>
      <c r="C75" s="126"/>
      <c r="D75" s="126"/>
      <c r="E75" s="126"/>
      <c r="F75" s="161"/>
      <c r="G75" s="169">
        <v>30</v>
      </c>
      <c r="H75" s="167"/>
      <c r="I75" s="167"/>
      <c r="J75" s="168"/>
      <c r="K75" s="166">
        <v>20</v>
      </c>
      <c r="L75" s="167"/>
      <c r="M75" s="167"/>
      <c r="N75" s="168"/>
      <c r="O75" s="239">
        <v>0</v>
      </c>
      <c r="P75" s="240"/>
      <c r="Q75" s="240"/>
      <c r="R75" s="241"/>
      <c r="S75" s="239">
        <v>0</v>
      </c>
      <c r="T75" s="240"/>
      <c r="U75" s="240"/>
      <c r="V75" s="241"/>
      <c r="W75" s="153">
        <f t="shared" si="5"/>
        <v>50</v>
      </c>
      <c r="X75" s="154"/>
      <c r="Y75" s="154"/>
      <c r="Z75" s="155"/>
      <c r="AA75" s="205" t="s">
        <v>56</v>
      </c>
      <c r="AB75" s="126"/>
      <c r="AC75" s="126"/>
      <c r="AD75" s="126"/>
      <c r="AE75" s="126"/>
      <c r="AF75" s="126"/>
      <c r="AG75" s="134">
        <f>W82+AG74</f>
        <v>40.5</v>
      </c>
      <c r="AH75" s="134"/>
      <c r="AI75" s="135"/>
    </row>
    <row r="76" spans="1:35" ht="13.5" thickBot="1">
      <c r="A76" s="141"/>
      <c r="B76" s="125" t="s">
        <v>58</v>
      </c>
      <c r="C76" s="126"/>
      <c r="D76" s="126"/>
      <c r="E76" s="126"/>
      <c r="F76" s="161"/>
      <c r="G76" s="156">
        <f>IF(G74&lt;G75,G75,G74)</f>
        <v>30</v>
      </c>
      <c r="H76" s="157"/>
      <c r="I76" s="157"/>
      <c r="J76" s="158"/>
      <c r="K76" s="160">
        <f>IF(K74&lt;K75,K75,K74)</f>
        <v>20</v>
      </c>
      <c r="L76" s="157"/>
      <c r="M76" s="157"/>
      <c r="N76" s="158"/>
      <c r="O76" s="246">
        <f>IF(O74&lt;O75,O75,O74)</f>
        <v>0</v>
      </c>
      <c r="P76" s="247"/>
      <c r="Q76" s="247"/>
      <c r="R76" s="248"/>
      <c r="S76" s="246">
        <f>IF(S74&lt;S75,S75,S74)</f>
        <v>0</v>
      </c>
      <c r="T76" s="247"/>
      <c r="U76" s="247"/>
      <c r="V76" s="248"/>
      <c r="W76" s="153">
        <f t="shared" si="5"/>
        <v>50</v>
      </c>
      <c r="X76" s="154"/>
      <c r="Y76" s="154"/>
      <c r="Z76" s="155"/>
      <c r="AA76" s="232" t="s">
        <v>57</v>
      </c>
      <c r="AB76" s="90"/>
      <c r="AC76" s="90"/>
      <c r="AD76" s="90"/>
      <c r="AE76" s="90"/>
      <c r="AF76" s="90"/>
      <c r="AG76" s="91">
        <f>-AG74+AG75-W83</f>
        <v>24.299999999999997</v>
      </c>
      <c r="AH76" s="91"/>
      <c r="AI76" s="85"/>
    </row>
    <row r="77" spans="1:35" ht="13.5" thickBot="1">
      <c r="A77" s="141"/>
      <c r="B77" s="125" t="s">
        <v>41</v>
      </c>
      <c r="C77" s="126"/>
      <c r="D77" s="126"/>
      <c r="E77" s="126"/>
      <c r="F77" s="161"/>
      <c r="G77" s="156">
        <v>16.5</v>
      </c>
      <c r="H77" s="157"/>
      <c r="I77" s="157"/>
      <c r="J77" s="158"/>
      <c r="K77" s="156">
        <v>16.5</v>
      </c>
      <c r="L77" s="157"/>
      <c r="M77" s="157"/>
      <c r="N77" s="158"/>
      <c r="O77" s="246">
        <v>0</v>
      </c>
      <c r="P77" s="247"/>
      <c r="Q77" s="247"/>
      <c r="R77" s="248"/>
      <c r="S77" s="246">
        <v>0</v>
      </c>
      <c r="T77" s="247"/>
      <c r="U77" s="247"/>
      <c r="V77" s="248"/>
      <c r="W77" s="153">
        <f t="shared" si="5"/>
        <v>33</v>
      </c>
      <c r="X77" s="154"/>
      <c r="Y77" s="154"/>
      <c r="Z77" s="155"/>
      <c r="AA77" s="230" t="s">
        <v>59</v>
      </c>
      <c r="AB77" s="231"/>
      <c r="AC77" s="231"/>
      <c r="AD77" s="231"/>
      <c r="AE77" s="231"/>
      <c r="AF77" s="231"/>
      <c r="AG77" s="266">
        <f>AG73+AG76</f>
        <v>24.299999999999997</v>
      </c>
      <c r="AH77" s="267"/>
      <c r="AI77" s="268"/>
    </row>
    <row r="78" spans="1:35" ht="12.75">
      <c r="A78" s="141"/>
      <c r="B78" s="125" t="s">
        <v>42</v>
      </c>
      <c r="C78" s="126"/>
      <c r="D78" s="126"/>
      <c r="E78" s="126"/>
      <c r="F78" s="161"/>
      <c r="G78" s="169">
        <v>16.5</v>
      </c>
      <c r="H78" s="167"/>
      <c r="I78" s="167"/>
      <c r="J78" s="168"/>
      <c r="K78" s="169">
        <v>16.5</v>
      </c>
      <c r="L78" s="167"/>
      <c r="M78" s="167"/>
      <c r="N78" s="168"/>
      <c r="O78" s="239">
        <v>0</v>
      </c>
      <c r="P78" s="240"/>
      <c r="Q78" s="240"/>
      <c r="R78" s="241"/>
      <c r="S78" s="239">
        <v>0</v>
      </c>
      <c r="T78" s="240"/>
      <c r="U78" s="240"/>
      <c r="V78" s="241"/>
      <c r="W78" s="153">
        <f t="shared" si="5"/>
        <v>33</v>
      </c>
      <c r="X78" s="154"/>
      <c r="Y78" s="154"/>
      <c r="Z78" s="155"/>
      <c r="AA78" s="136">
        <f>(W77+W76)/W73*100-$L$2</f>
        <v>0.6384615384615384</v>
      </c>
      <c r="AB78" s="136"/>
      <c r="AC78" s="136"/>
      <c r="AD78" s="136"/>
      <c r="AE78" s="136"/>
      <c r="AF78" s="136"/>
      <c r="AG78" s="136"/>
      <c r="AH78" s="136"/>
      <c r="AI78" s="136"/>
    </row>
    <row r="79" spans="1:35" ht="12.75">
      <c r="A79" s="141"/>
      <c r="B79" s="125" t="s">
        <v>43</v>
      </c>
      <c r="C79" s="126"/>
      <c r="D79" s="126"/>
      <c r="E79" s="126"/>
      <c r="F79" s="161"/>
      <c r="G79" s="165">
        <f>G77-G78</f>
        <v>0</v>
      </c>
      <c r="H79" s="163"/>
      <c r="I79" s="163"/>
      <c r="J79" s="164"/>
      <c r="K79" s="162">
        <f>K77-K78</f>
        <v>0</v>
      </c>
      <c r="L79" s="163"/>
      <c r="M79" s="163"/>
      <c r="N79" s="164"/>
      <c r="O79" s="275">
        <f>O77-O78</f>
        <v>0</v>
      </c>
      <c r="P79" s="276"/>
      <c r="Q79" s="276"/>
      <c r="R79" s="277"/>
      <c r="S79" s="275">
        <v>0</v>
      </c>
      <c r="T79" s="276"/>
      <c r="U79" s="276"/>
      <c r="V79" s="277"/>
      <c r="W79" s="153">
        <f t="shared" si="5"/>
        <v>0</v>
      </c>
      <c r="X79" s="154"/>
      <c r="Y79" s="154"/>
      <c r="Z79" s="155"/>
      <c r="AA79" s="132">
        <f>AG72*W72/100</f>
        <v>0</v>
      </c>
      <c r="AB79" s="233"/>
      <c r="AC79" s="233"/>
      <c r="AD79" s="233"/>
      <c r="AE79" s="233"/>
      <c r="AF79" s="233"/>
      <c r="AG79" s="233"/>
      <c r="AH79" s="233"/>
      <c r="AI79" s="233"/>
    </row>
    <row r="80" spans="1:35" ht="12.75">
      <c r="A80" s="141"/>
      <c r="B80" s="125" t="s">
        <v>30</v>
      </c>
      <c r="C80" s="126"/>
      <c r="D80" s="126"/>
      <c r="E80" s="126"/>
      <c r="F80" s="161"/>
      <c r="G80" s="156">
        <f>G73/100*$Q$2+($AT$5+$AG80*$E$5)/2</f>
        <v>61.75</v>
      </c>
      <c r="H80" s="157"/>
      <c r="I80" s="157"/>
      <c r="J80" s="158"/>
      <c r="K80" s="156">
        <f>K73/100*$Q$2+($AT$5+$AG80*$E$5)/2</f>
        <v>61.75</v>
      </c>
      <c r="L80" s="157"/>
      <c r="M80" s="157"/>
      <c r="N80" s="158"/>
      <c r="O80" s="246">
        <f>O73/100*$L$2</f>
        <v>0</v>
      </c>
      <c r="P80" s="247"/>
      <c r="Q80" s="247"/>
      <c r="R80" s="248"/>
      <c r="S80" s="246">
        <f>S73/100*$L$2</f>
        <v>0</v>
      </c>
      <c r="T80" s="247"/>
      <c r="U80" s="247"/>
      <c r="V80" s="248"/>
      <c r="W80" s="153">
        <f t="shared" si="5"/>
        <v>123.5</v>
      </c>
      <c r="X80" s="154"/>
      <c r="Y80" s="154"/>
      <c r="Z80" s="155"/>
      <c r="AA80" s="283" t="s">
        <v>161</v>
      </c>
      <c r="AB80" s="233"/>
      <c r="AC80" s="233"/>
      <c r="AD80" s="233"/>
      <c r="AE80" s="233"/>
      <c r="AF80" s="233"/>
      <c r="AG80" s="233">
        <v>20</v>
      </c>
      <c r="AH80" s="233"/>
      <c r="AI80" s="233"/>
    </row>
    <row r="81" spans="1:26" ht="12.75">
      <c r="A81" s="141"/>
      <c r="B81" s="125" t="s">
        <v>44</v>
      </c>
      <c r="C81" s="126"/>
      <c r="D81" s="126"/>
      <c r="E81" s="126"/>
      <c r="F81" s="161"/>
      <c r="G81" s="156">
        <f>G80-G77-G76</f>
        <v>15.25</v>
      </c>
      <c r="H81" s="157"/>
      <c r="I81" s="157"/>
      <c r="J81" s="158"/>
      <c r="K81" s="160">
        <f>K80-K77-K76</f>
        <v>25.25</v>
      </c>
      <c r="L81" s="157"/>
      <c r="M81" s="157"/>
      <c r="N81" s="158"/>
      <c r="O81" s="246">
        <f>O80-O77-O76</f>
        <v>0</v>
      </c>
      <c r="P81" s="247"/>
      <c r="Q81" s="247"/>
      <c r="R81" s="248"/>
      <c r="S81" s="246">
        <f>S80-S77-S76</f>
        <v>0</v>
      </c>
      <c r="T81" s="247"/>
      <c r="U81" s="247"/>
      <c r="V81" s="248"/>
      <c r="W81" s="153">
        <f t="shared" si="5"/>
        <v>40.5</v>
      </c>
      <c r="X81" s="154"/>
      <c r="Y81" s="154"/>
      <c r="Z81" s="155"/>
    </row>
    <row r="82" spans="1:26" ht="12.75">
      <c r="A82" s="141"/>
      <c r="B82" s="125" t="s">
        <v>45</v>
      </c>
      <c r="C82" s="126"/>
      <c r="D82" s="126"/>
      <c r="E82" s="126"/>
      <c r="F82" s="161"/>
      <c r="G82" s="156">
        <f>G81+G79</f>
        <v>15.25</v>
      </c>
      <c r="H82" s="157"/>
      <c r="I82" s="157"/>
      <c r="J82" s="158"/>
      <c r="K82" s="160">
        <f>K81+K79</f>
        <v>25.25</v>
      </c>
      <c r="L82" s="157"/>
      <c r="M82" s="157"/>
      <c r="N82" s="158"/>
      <c r="O82" s="246">
        <f>O81+O79</f>
        <v>0</v>
      </c>
      <c r="P82" s="247"/>
      <c r="Q82" s="247"/>
      <c r="R82" s="248"/>
      <c r="S82" s="246">
        <f>S81+S79</f>
        <v>0</v>
      </c>
      <c r="T82" s="247"/>
      <c r="U82" s="247"/>
      <c r="V82" s="248"/>
      <c r="W82" s="153">
        <f t="shared" si="5"/>
        <v>40.5</v>
      </c>
      <c r="X82" s="154"/>
      <c r="Y82" s="154"/>
      <c r="Z82" s="155"/>
    </row>
    <row r="83" spans="1:26" ht="12.75">
      <c r="A83" s="141"/>
      <c r="B83" s="194" t="s">
        <v>26</v>
      </c>
      <c r="C83" s="98"/>
      <c r="D83" s="98"/>
      <c r="E83" s="98"/>
      <c r="F83" s="195"/>
      <c r="G83" s="196">
        <f>$AG75/100*$AL$3</f>
        <v>8.100000000000001</v>
      </c>
      <c r="H83" s="197"/>
      <c r="I83" s="197"/>
      <c r="J83" s="198"/>
      <c r="K83" s="196">
        <f>$AG75/100*$AL$4</f>
        <v>8.100000000000001</v>
      </c>
      <c r="L83" s="197"/>
      <c r="M83" s="197"/>
      <c r="N83" s="198"/>
      <c r="O83" s="137">
        <v>0</v>
      </c>
      <c r="P83" s="138"/>
      <c r="Q83" s="138"/>
      <c r="R83" s="139"/>
      <c r="S83" s="137">
        <v>0</v>
      </c>
      <c r="T83" s="138"/>
      <c r="U83" s="138"/>
      <c r="V83" s="139"/>
      <c r="W83" s="153">
        <f t="shared" si="5"/>
        <v>16.200000000000003</v>
      </c>
      <c r="X83" s="154"/>
      <c r="Y83" s="154"/>
      <c r="Z83" s="155"/>
    </row>
    <row r="84" spans="1:26" ht="13.5" thickBot="1">
      <c r="A84" s="141"/>
      <c r="B84" s="191" t="s">
        <v>28</v>
      </c>
      <c r="C84" s="192"/>
      <c r="D84" s="192"/>
      <c r="E84" s="192"/>
      <c r="F84" s="193"/>
      <c r="G84" s="149">
        <f>IF(G83&lt;0,G76,G76+G83)</f>
        <v>38.1</v>
      </c>
      <c r="H84" s="147"/>
      <c r="I84" s="147"/>
      <c r="J84" s="148"/>
      <c r="K84" s="146">
        <f>IF(K83&lt;0,K76,K76+K83)</f>
        <v>28.1</v>
      </c>
      <c r="L84" s="147"/>
      <c r="M84" s="147"/>
      <c r="N84" s="148"/>
      <c r="O84" s="255">
        <f>IF(O83&lt;0,O76,O76+O83)</f>
        <v>0</v>
      </c>
      <c r="P84" s="256"/>
      <c r="Q84" s="256"/>
      <c r="R84" s="257"/>
      <c r="S84" s="255">
        <f>IF(S83&lt;0,S76,S76+S83)</f>
        <v>0</v>
      </c>
      <c r="T84" s="256"/>
      <c r="U84" s="256"/>
      <c r="V84" s="257"/>
      <c r="W84" s="150">
        <f t="shared" si="5"/>
        <v>66.2</v>
      </c>
      <c r="X84" s="151"/>
      <c r="Y84" s="151"/>
      <c r="Z84" s="152"/>
    </row>
    <row r="85" spans="1:35" ht="12.75" customHeight="1">
      <c r="A85" s="140" t="s">
        <v>67</v>
      </c>
      <c r="B85" s="93" t="s">
        <v>23</v>
      </c>
      <c r="C85" s="94"/>
      <c r="D85" s="94"/>
      <c r="E85" s="94"/>
      <c r="F85" s="199"/>
      <c r="G85" s="185">
        <v>6530</v>
      </c>
      <c r="H85" s="183"/>
      <c r="I85" s="183"/>
      <c r="J85" s="184"/>
      <c r="K85" s="182">
        <v>6530</v>
      </c>
      <c r="L85" s="183"/>
      <c r="M85" s="183"/>
      <c r="N85" s="184"/>
      <c r="O85" s="242">
        <v>0</v>
      </c>
      <c r="P85" s="243"/>
      <c r="Q85" s="243"/>
      <c r="R85" s="244"/>
      <c r="S85" s="242">
        <v>0</v>
      </c>
      <c r="T85" s="243"/>
      <c r="U85" s="243"/>
      <c r="V85" s="244"/>
      <c r="W85" s="170">
        <f>SUM(G85:V85)</f>
        <v>13060</v>
      </c>
      <c r="X85" s="171"/>
      <c r="Y85" s="171"/>
      <c r="Z85" s="172"/>
      <c r="AA85" s="236" t="s">
        <v>53</v>
      </c>
      <c r="AB85" s="94"/>
      <c r="AC85" s="94"/>
      <c r="AD85" s="94"/>
      <c r="AE85" s="94"/>
      <c r="AF85" s="94"/>
      <c r="AG85" s="269">
        <v>0</v>
      </c>
      <c r="AH85" s="270"/>
      <c r="AI85" s="271"/>
    </row>
    <row r="86" spans="1:35" ht="12.75">
      <c r="A86" s="141"/>
      <c r="B86" s="125" t="s">
        <v>24</v>
      </c>
      <c r="C86" s="126"/>
      <c r="D86" s="126"/>
      <c r="E86" s="126"/>
      <c r="F86" s="161"/>
      <c r="G86" s="239">
        <v>6530</v>
      </c>
      <c r="H86" s="240"/>
      <c r="I86" s="240"/>
      <c r="J86" s="241"/>
      <c r="K86" s="166">
        <v>6530</v>
      </c>
      <c r="L86" s="167"/>
      <c r="M86" s="167"/>
      <c r="N86" s="168"/>
      <c r="O86" s="239">
        <v>0</v>
      </c>
      <c r="P86" s="240"/>
      <c r="Q86" s="240"/>
      <c r="R86" s="241"/>
      <c r="S86" s="239">
        <v>0</v>
      </c>
      <c r="T86" s="240"/>
      <c r="U86" s="240"/>
      <c r="V86" s="241"/>
      <c r="W86" s="153">
        <f aca="true" t="shared" si="6" ref="W86:W97">G86+K86+O86+S86</f>
        <v>13060</v>
      </c>
      <c r="X86" s="154"/>
      <c r="Y86" s="154"/>
      <c r="Z86" s="155"/>
      <c r="AA86" s="205" t="s">
        <v>54</v>
      </c>
      <c r="AB86" s="126"/>
      <c r="AC86" s="126"/>
      <c r="AD86" s="126"/>
      <c r="AE86" s="126"/>
      <c r="AF86" s="126"/>
      <c r="AG86" s="278">
        <v>0</v>
      </c>
      <c r="AH86" s="278"/>
      <c r="AI86" s="279"/>
    </row>
    <row r="87" spans="1:35" ht="12.75">
      <c r="A87" s="141"/>
      <c r="B87" s="125" t="s">
        <v>29</v>
      </c>
      <c r="C87" s="126"/>
      <c r="D87" s="126"/>
      <c r="E87" s="126"/>
      <c r="F87" s="161"/>
      <c r="G87" s="156">
        <v>30</v>
      </c>
      <c r="H87" s="157"/>
      <c r="I87" s="157"/>
      <c r="J87" s="158"/>
      <c r="K87" s="156">
        <v>20</v>
      </c>
      <c r="L87" s="157"/>
      <c r="M87" s="157"/>
      <c r="N87" s="158"/>
      <c r="O87" s="156">
        <f>O86*0.005</f>
        <v>0</v>
      </c>
      <c r="P87" s="157"/>
      <c r="Q87" s="157"/>
      <c r="R87" s="158"/>
      <c r="S87" s="156">
        <f>S86*0.005</f>
        <v>0</v>
      </c>
      <c r="T87" s="157"/>
      <c r="U87" s="157"/>
      <c r="V87" s="158"/>
      <c r="W87" s="153">
        <f t="shared" si="6"/>
        <v>50</v>
      </c>
      <c r="X87" s="154"/>
      <c r="Y87" s="154"/>
      <c r="Z87" s="155"/>
      <c r="AA87" s="205" t="s">
        <v>55</v>
      </c>
      <c r="AB87" s="126"/>
      <c r="AC87" s="126"/>
      <c r="AD87" s="126"/>
      <c r="AE87" s="126"/>
      <c r="AF87" s="126"/>
      <c r="AG87" s="134">
        <f>AG86</f>
        <v>0</v>
      </c>
      <c r="AH87" s="134"/>
      <c r="AI87" s="135"/>
    </row>
    <row r="88" spans="1:35" ht="12.75">
      <c r="A88" s="141"/>
      <c r="B88" s="125" t="s">
        <v>10</v>
      </c>
      <c r="C88" s="126"/>
      <c r="D88" s="126"/>
      <c r="E88" s="126"/>
      <c r="F88" s="161"/>
      <c r="G88" s="169">
        <v>30</v>
      </c>
      <c r="H88" s="167"/>
      <c r="I88" s="167"/>
      <c r="J88" s="168"/>
      <c r="K88" s="166">
        <v>20</v>
      </c>
      <c r="L88" s="167"/>
      <c r="M88" s="167"/>
      <c r="N88" s="168"/>
      <c r="O88" s="239">
        <v>0</v>
      </c>
      <c r="P88" s="240"/>
      <c r="Q88" s="240"/>
      <c r="R88" s="241"/>
      <c r="S88" s="239">
        <v>0</v>
      </c>
      <c r="T88" s="240"/>
      <c r="U88" s="240"/>
      <c r="V88" s="241"/>
      <c r="W88" s="153">
        <f t="shared" si="6"/>
        <v>50</v>
      </c>
      <c r="X88" s="154"/>
      <c r="Y88" s="154"/>
      <c r="Z88" s="155"/>
      <c r="AA88" s="205" t="s">
        <v>56</v>
      </c>
      <c r="AB88" s="126"/>
      <c r="AC88" s="126"/>
      <c r="AD88" s="126"/>
      <c r="AE88" s="126"/>
      <c r="AF88" s="126"/>
      <c r="AG88" s="134">
        <f>W95+AG87</f>
        <v>40.709999999999994</v>
      </c>
      <c r="AH88" s="134"/>
      <c r="AI88" s="135"/>
    </row>
    <row r="89" spans="1:35" ht="13.5" thickBot="1">
      <c r="A89" s="141"/>
      <c r="B89" s="125" t="s">
        <v>58</v>
      </c>
      <c r="C89" s="126"/>
      <c r="D89" s="126"/>
      <c r="E89" s="126"/>
      <c r="F89" s="161"/>
      <c r="G89" s="156">
        <f>IF(G87&lt;G88,G88,G87)</f>
        <v>30</v>
      </c>
      <c r="H89" s="157"/>
      <c r="I89" s="157"/>
      <c r="J89" s="158"/>
      <c r="K89" s="160">
        <f>IF(K87&lt;K88,K88,K87)</f>
        <v>20</v>
      </c>
      <c r="L89" s="157"/>
      <c r="M89" s="157"/>
      <c r="N89" s="158"/>
      <c r="O89" s="246">
        <f>IF(O87&lt;O88,O88,O87)</f>
        <v>0</v>
      </c>
      <c r="P89" s="247"/>
      <c r="Q89" s="247"/>
      <c r="R89" s="248"/>
      <c r="S89" s="246">
        <f>IF(S87&lt;S88,S88,S87)</f>
        <v>0</v>
      </c>
      <c r="T89" s="247"/>
      <c r="U89" s="247"/>
      <c r="V89" s="248"/>
      <c r="W89" s="153">
        <f t="shared" si="6"/>
        <v>50</v>
      </c>
      <c r="X89" s="154"/>
      <c r="Y89" s="154"/>
      <c r="Z89" s="155"/>
      <c r="AA89" s="232" t="s">
        <v>57</v>
      </c>
      <c r="AB89" s="90"/>
      <c r="AC89" s="90"/>
      <c r="AD89" s="90"/>
      <c r="AE89" s="90"/>
      <c r="AF89" s="90"/>
      <c r="AG89" s="91">
        <f>-AG87+AG88-W96</f>
        <v>24.425999999999995</v>
      </c>
      <c r="AH89" s="91"/>
      <c r="AI89" s="85"/>
    </row>
    <row r="90" spans="1:35" ht="13.5" thickBot="1">
      <c r="A90" s="141"/>
      <c r="B90" s="125" t="s">
        <v>41</v>
      </c>
      <c r="C90" s="126"/>
      <c r="D90" s="126"/>
      <c r="E90" s="126"/>
      <c r="F90" s="161"/>
      <c r="G90" s="156">
        <v>16.5</v>
      </c>
      <c r="H90" s="157"/>
      <c r="I90" s="157"/>
      <c r="J90" s="158"/>
      <c r="K90" s="156">
        <v>16.5</v>
      </c>
      <c r="L90" s="157"/>
      <c r="M90" s="157"/>
      <c r="N90" s="158"/>
      <c r="O90" s="246">
        <v>0</v>
      </c>
      <c r="P90" s="247"/>
      <c r="Q90" s="247"/>
      <c r="R90" s="248"/>
      <c r="S90" s="246">
        <v>0</v>
      </c>
      <c r="T90" s="247"/>
      <c r="U90" s="247"/>
      <c r="V90" s="248"/>
      <c r="W90" s="153">
        <f t="shared" si="6"/>
        <v>33</v>
      </c>
      <c r="X90" s="154"/>
      <c r="Y90" s="154"/>
      <c r="Z90" s="155"/>
      <c r="AA90" s="230" t="s">
        <v>59</v>
      </c>
      <c r="AB90" s="231"/>
      <c r="AC90" s="231"/>
      <c r="AD90" s="231"/>
      <c r="AE90" s="231"/>
      <c r="AF90" s="231"/>
      <c r="AG90" s="266">
        <f>AG86+AG89</f>
        <v>24.425999999999995</v>
      </c>
      <c r="AH90" s="267"/>
      <c r="AI90" s="268"/>
    </row>
    <row r="91" spans="1:35" ht="12.75">
      <c r="A91" s="141"/>
      <c r="B91" s="125" t="s">
        <v>42</v>
      </c>
      <c r="C91" s="126"/>
      <c r="D91" s="126"/>
      <c r="E91" s="126"/>
      <c r="F91" s="161"/>
      <c r="G91" s="169">
        <v>16.5</v>
      </c>
      <c r="H91" s="167"/>
      <c r="I91" s="167"/>
      <c r="J91" s="168"/>
      <c r="K91" s="169">
        <v>16.5</v>
      </c>
      <c r="L91" s="167"/>
      <c r="M91" s="167"/>
      <c r="N91" s="168"/>
      <c r="O91" s="239">
        <v>0</v>
      </c>
      <c r="P91" s="240"/>
      <c r="Q91" s="240"/>
      <c r="R91" s="241"/>
      <c r="S91" s="239">
        <v>0</v>
      </c>
      <c r="T91" s="240"/>
      <c r="U91" s="240"/>
      <c r="V91" s="241"/>
      <c r="W91" s="153">
        <f t="shared" si="6"/>
        <v>33</v>
      </c>
      <c r="X91" s="154"/>
      <c r="Y91" s="154"/>
      <c r="Z91" s="155"/>
      <c r="AA91" s="136">
        <f>(W90+W89)/W86*100-$L$2</f>
        <v>0.6355283307810107</v>
      </c>
      <c r="AB91" s="136"/>
      <c r="AC91" s="136"/>
      <c r="AD91" s="136"/>
      <c r="AE91" s="136"/>
      <c r="AF91" s="136"/>
      <c r="AG91" s="136"/>
      <c r="AH91" s="136"/>
      <c r="AI91" s="136"/>
    </row>
    <row r="92" spans="1:35" ht="12.75">
      <c r="A92" s="141"/>
      <c r="B92" s="125" t="s">
        <v>43</v>
      </c>
      <c r="C92" s="126"/>
      <c r="D92" s="126"/>
      <c r="E92" s="126"/>
      <c r="F92" s="161"/>
      <c r="G92" s="165">
        <f>G90-G91</f>
        <v>0</v>
      </c>
      <c r="H92" s="163"/>
      <c r="I92" s="163"/>
      <c r="J92" s="164"/>
      <c r="K92" s="162">
        <f>K90-K91</f>
        <v>0</v>
      </c>
      <c r="L92" s="163"/>
      <c r="M92" s="163"/>
      <c r="N92" s="164"/>
      <c r="O92" s="275">
        <f>O90-O91</f>
        <v>0</v>
      </c>
      <c r="P92" s="276"/>
      <c r="Q92" s="276"/>
      <c r="R92" s="277"/>
      <c r="S92" s="275">
        <v>0</v>
      </c>
      <c r="T92" s="276"/>
      <c r="U92" s="276"/>
      <c r="V92" s="277"/>
      <c r="W92" s="153">
        <f t="shared" si="6"/>
        <v>0</v>
      </c>
      <c r="X92" s="154"/>
      <c r="Y92" s="154"/>
      <c r="Z92" s="155"/>
      <c r="AA92" s="132">
        <f>AG85*W85/100</f>
        <v>0</v>
      </c>
      <c r="AB92" s="233"/>
      <c r="AC92" s="233"/>
      <c r="AD92" s="233"/>
      <c r="AE92" s="233"/>
      <c r="AF92" s="233"/>
      <c r="AG92" s="233"/>
      <c r="AH92" s="233"/>
      <c r="AI92" s="233"/>
    </row>
    <row r="93" spans="1:35" ht="12.75">
      <c r="A93" s="141"/>
      <c r="B93" s="125" t="s">
        <v>30</v>
      </c>
      <c r="C93" s="126"/>
      <c r="D93" s="126"/>
      <c r="E93" s="126"/>
      <c r="F93" s="161"/>
      <c r="G93" s="156">
        <f>G86/100*$Q$2+($AT$5+$AG93*$E$5)/2</f>
        <v>61.855</v>
      </c>
      <c r="H93" s="157"/>
      <c r="I93" s="157"/>
      <c r="J93" s="158"/>
      <c r="K93" s="156">
        <f>K86/100*$Q$2+($AT$5+$AG93*$E$5)/2</f>
        <v>61.855</v>
      </c>
      <c r="L93" s="157"/>
      <c r="M93" s="157"/>
      <c r="N93" s="158"/>
      <c r="O93" s="246">
        <f>O86/100*$L$2</f>
        <v>0</v>
      </c>
      <c r="P93" s="247"/>
      <c r="Q93" s="247"/>
      <c r="R93" s="248"/>
      <c r="S93" s="246">
        <f>S86/100*$L$2</f>
        <v>0</v>
      </c>
      <c r="T93" s="247"/>
      <c r="U93" s="247"/>
      <c r="V93" s="248"/>
      <c r="W93" s="153">
        <f t="shared" si="6"/>
        <v>123.71</v>
      </c>
      <c r="X93" s="154"/>
      <c r="Y93" s="154"/>
      <c r="Z93" s="155"/>
      <c r="AA93" s="283" t="s">
        <v>161</v>
      </c>
      <c r="AB93" s="233"/>
      <c r="AC93" s="233"/>
      <c r="AD93" s="233"/>
      <c r="AE93" s="233"/>
      <c r="AF93" s="233"/>
      <c r="AG93" s="233">
        <v>20</v>
      </c>
      <c r="AH93" s="233"/>
      <c r="AI93" s="233"/>
    </row>
    <row r="94" spans="1:26" ht="12.75">
      <c r="A94" s="141"/>
      <c r="B94" s="125" t="s">
        <v>44</v>
      </c>
      <c r="C94" s="126"/>
      <c r="D94" s="126"/>
      <c r="E94" s="126"/>
      <c r="F94" s="161"/>
      <c r="G94" s="156">
        <f>G93-G90-G89</f>
        <v>15.354999999999997</v>
      </c>
      <c r="H94" s="157"/>
      <c r="I94" s="157"/>
      <c r="J94" s="158"/>
      <c r="K94" s="160">
        <f>K93-K90-K89</f>
        <v>25.354999999999997</v>
      </c>
      <c r="L94" s="157"/>
      <c r="M94" s="157"/>
      <c r="N94" s="158"/>
      <c r="O94" s="246">
        <f>O93-O90-O89</f>
        <v>0</v>
      </c>
      <c r="P94" s="247"/>
      <c r="Q94" s="247"/>
      <c r="R94" s="248"/>
      <c r="S94" s="246">
        <f>S93-S90-S89</f>
        <v>0</v>
      </c>
      <c r="T94" s="247"/>
      <c r="U94" s="247"/>
      <c r="V94" s="248"/>
      <c r="W94" s="153">
        <f t="shared" si="6"/>
        <v>40.709999999999994</v>
      </c>
      <c r="X94" s="154"/>
      <c r="Y94" s="154"/>
      <c r="Z94" s="155"/>
    </row>
    <row r="95" spans="1:26" ht="12.75">
      <c r="A95" s="141"/>
      <c r="B95" s="125" t="s">
        <v>45</v>
      </c>
      <c r="C95" s="126"/>
      <c r="D95" s="126"/>
      <c r="E95" s="126"/>
      <c r="F95" s="161"/>
      <c r="G95" s="156">
        <f>G94+G92</f>
        <v>15.354999999999997</v>
      </c>
      <c r="H95" s="157"/>
      <c r="I95" s="157"/>
      <c r="J95" s="158"/>
      <c r="K95" s="160">
        <f>K94+K92</f>
        <v>25.354999999999997</v>
      </c>
      <c r="L95" s="157"/>
      <c r="M95" s="157"/>
      <c r="N95" s="158"/>
      <c r="O95" s="246">
        <f>O94+O92</f>
        <v>0</v>
      </c>
      <c r="P95" s="247"/>
      <c r="Q95" s="247"/>
      <c r="R95" s="248"/>
      <c r="S95" s="246">
        <f>S94+S92</f>
        <v>0</v>
      </c>
      <c r="T95" s="247"/>
      <c r="U95" s="247"/>
      <c r="V95" s="248"/>
      <c r="W95" s="153">
        <f t="shared" si="6"/>
        <v>40.709999999999994</v>
      </c>
      <c r="X95" s="154"/>
      <c r="Y95" s="154"/>
      <c r="Z95" s="155"/>
    </row>
    <row r="96" spans="1:26" ht="12.75">
      <c r="A96" s="141"/>
      <c r="B96" s="194" t="s">
        <v>26</v>
      </c>
      <c r="C96" s="98"/>
      <c r="D96" s="98"/>
      <c r="E96" s="98"/>
      <c r="F96" s="195"/>
      <c r="G96" s="196">
        <f>$AG88/100*$AL$3</f>
        <v>8.142</v>
      </c>
      <c r="H96" s="197"/>
      <c r="I96" s="197"/>
      <c r="J96" s="198"/>
      <c r="K96" s="196">
        <f>$AG88/100*$AL$4</f>
        <v>8.142</v>
      </c>
      <c r="L96" s="197"/>
      <c r="M96" s="197"/>
      <c r="N96" s="198"/>
      <c r="O96" s="137">
        <v>0</v>
      </c>
      <c r="P96" s="138"/>
      <c r="Q96" s="138"/>
      <c r="R96" s="139"/>
      <c r="S96" s="137">
        <v>0</v>
      </c>
      <c r="T96" s="138"/>
      <c r="U96" s="138"/>
      <c r="V96" s="139"/>
      <c r="W96" s="153">
        <f t="shared" si="6"/>
        <v>16.284</v>
      </c>
      <c r="X96" s="154"/>
      <c r="Y96" s="154"/>
      <c r="Z96" s="155"/>
    </row>
    <row r="97" spans="1:26" ht="13.5" thickBot="1">
      <c r="A97" s="141"/>
      <c r="B97" s="191" t="s">
        <v>28</v>
      </c>
      <c r="C97" s="192"/>
      <c r="D97" s="192"/>
      <c r="E97" s="192"/>
      <c r="F97" s="193"/>
      <c r="G97" s="149">
        <f>IF(G96&lt;0,G89,G89+G96)</f>
        <v>38.141999999999996</v>
      </c>
      <c r="H97" s="147"/>
      <c r="I97" s="147"/>
      <c r="J97" s="148"/>
      <c r="K97" s="146">
        <f>IF(K96&lt;0,K89,K89+K96)</f>
        <v>28.142</v>
      </c>
      <c r="L97" s="147"/>
      <c r="M97" s="147"/>
      <c r="N97" s="148"/>
      <c r="O97" s="255">
        <f>IF(O96&lt;0,O89,O89+O96)</f>
        <v>0</v>
      </c>
      <c r="P97" s="256"/>
      <c r="Q97" s="256"/>
      <c r="R97" s="257"/>
      <c r="S97" s="255">
        <f>IF(S96&lt;0,S89,S89+S96)</f>
        <v>0</v>
      </c>
      <c r="T97" s="256"/>
      <c r="U97" s="256"/>
      <c r="V97" s="257"/>
      <c r="W97" s="150">
        <f t="shared" si="6"/>
        <v>66.28399999999999</v>
      </c>
      <c r="X97" s="151"/>
      <c r="Y97" s="151"/>
      <c r="Z97" s="152"/>
    </row>
    <row r="98" spans="1:35" ht="12.75" customHeight="1">
      <c r="A98" s="140" t="s">
        <v>68</v>
      </c>
      <c r="B98" s="93" t="s">
        <v>23</v>
      </c>
      <c r="C98" s="94"/>
      <c r="D98" s="94"/>
      <c r="E98" s="94"/>
      <c r="F98" s="199"/>
      <c r="G98" s="185">
        <v>6980</v>
      </c>
      <c r="H98" s="183"/>
      <c r="I98" s="183"/>
      <c r="J98" s="184"/>
      <c r="K98" s="185">
        <v>6980</v>
      </c>
      <c r="L98" s="183"/>
      <c r="M98" s="183"/>
      <c r="N98" s="184"/>
      <c r="O98" s="242">
        <v>0</v>
      </c>
      <c r="P98" s="243"/>
      <c r="Q98" s="243"/>
      <c r="R98" s="244"/>
      <c r="S98" s="242">
        <v>0</v>
      </c>
      <c r="T98" s="243"/>
      <c r="U98" s="243"/>
      <c r="V98" s="244"/>
      <c r="W98" s="170">
        <f>SUM(G98:V98)</f>
        <v>13960</v>
      </c>
      <c r="X98" s="171"/>
      <c r="Y98" s="171"/>
      <c r="Z98" s="172"/>
      <c r="AA98" s="236" t="s">
        <v>53</v>
      </c>
      <c r="AB98" s="94"/>
      <c r="AC98" s="94"/>
      <c r="AD98" s="94"/>
      <c r="AE98" s="94"/>
      <c r="AF98" s="94"/>
      <c r="AG98" s="269">
        <v>0</v>
      </c>
      <c r="AH98" s="270"/>
      <c r="AI98" s="271"/>
    </row>
    <row r="99" spans="1:35" ht="12.75">
      <c r="A99" s="141"/>
      <c r="B99" s="125" t="s">
        <v>24</v>
      </c>
      <c r="C99" s="126"/>
      <c r="D99" s="126"/>
      <c r="E99" s="126"/>
      <c r="F99" s="161"/>
      <c r="G99" s="239">
        <v>6980</v>
      </c>
      <c r="H99" s="240"/>
      <c r="I99" s="240"/>
      <c r="J99" s="241"/>
      <c r="K99" s="239">
        <v>6980</v>
      </c>
      <c r="L99" s="240"/>
      <c r="M99" s="240"/>
      <c r="N99" s="241"/>
      <c r="O99" s="239">
        <v>0</v>
      </c>
      <c r="P99" s="240"/>
      <c r="Q99" s="240"/>
      <c r="R99" s="241"/>
      <c r="S99" s="239">
        <v>0</v>
      </c>
      <c r="T99" s="240"/>
      <c r="U99" s="240"/>
      <c r="V99" s="241"/>
      <c r="W99" s="153">
        <f aca="true" t="shared" si="7" ref="W99:W110">G99+K99+O99+S99</f>
        <v>13960</v>
      </c>
      <c r="X99" s="154"/>
      <c r="Y99" s="154"/>
      <c r="Z99" s="155"/>
      <c r="AA99" s="205" t="s">
        <v>54</v>
      </c>
      <c r="AB99" s="126"/>
      <c r="AC99" s="126"/>
      <c r="AD99" s="126"/>
      <c r="AE99" s="126"/>
      <c r="AF99" s="126"/>
      <c r="AG99" s="278">
        <v>0</v>
      </c>
      <c r="AH99" s="278"/>
      <c r="AI99" s="279"/>
    </row>
    <row r="100" spans="1:35" ht="12.75">
      <c r="A100" s="141"/>
      <c r="B100" s="125" t="s">
        <v>29</v>
      </c>
      <c r="C100" s="126"/>
      <c r="D100" s="126"/>
      <c r="E100" s="126"/>
      <c r="F100" s="161"/>
      <c r="G100" s="156">
        <v>30</v>
      </c>
      <c r="H100" s="157"/>
      <c r="I100" s="157"/>
      <c r="J100" s="158"/>
      <c r="K100" s="156">
        <v>20</v>
      </c>
      <c r="L100" s="157"/>
      <c r="M100" s="157"/>
      <c r="N100" s="158"/>
      <c r="O100" s="156">
        <f>O99*0.005</f>
        <v>0</v>
      </c>
      <c r="P100" s="157"/>
      <c r="Q100" s="157"/>
      <c r="R100" s="158"/>
      <c r="S100" s="156">
        <f>S99*0.005</f>
        <v>0</v>
      </c>
      <c r="T100" s="157"/>
      <c r="U100" s="157"/>
      <c r="V100" s="158"/>
      <c r="W100" s="153">
        <f t="shared" si="7"/>
        <v>50</v>
      </c>
      <c r="X100" s="154"/>
      <c r="Y100" s="154"/>
      <c r="Z100" s="155"/>
      <c r="AA100" s="205" t="s">
        <v>55</v>
      </c>
      <c r="AB100" s="126"/>
      <c r="AC100" s="126"/>
      <c r="AD100" s="126"/>
      <c r="AE100" s="126"/>
      <c r="AF100" s="126"/>
      <c r="AG100" s="134">
        <f>AG99</f>
        <v>0</v>
      </c>
      <c r="AH100" s="134"/>
      <c r="AI100" s="135"/>
    </row>
    <row r="101" spans="1:35" ht="12.75">
      <c r="A101" s="141"/>
      <c r="B101" s="125" t="s">
        <v>10</v>
      </c>
      <c r="C101" s="126"/>
      <c r="D101" s="126"/>
      <c r="E101" s="126"/>
      <c r="F101" s="161"/>
      <c r="G101" s="169">
        <v>30</v>
      </c>
      <c r="H101" s="167"/>
      <c r="I101" s="167"/>
      <c r="J101" s="168"/>
      <c r="K101" s="166">
        <v>20</v>
      </c>
      <c r="L101" s="167"/>
      <c r="M101" s="167"/>
      <c r="N101" s="168"/>
      <c r="O101" s="239">
        <v>0</v>
      </c>
      <c r="P101" s="240"/>
      <c r="Q101" s="240"/>
      <c r="R101" s="241"/>
      <c r="S101" s="239">
        <v>0</v>
      </c>
      <c r="T101" s="240"/>
      <c r="U101" s="240"/>
      <c r="V101" s="241"/>
      <c r="W101" s="153">
        <f t="shared" si="7"/>
        <v>50</v>
      </c>
      <c r="X101" s="154"/>
      <c r="Y101" s="154"/>
      <c r="Z101" s="155"/>
      <c r="AA101" s="205" t="s">
        <v>56</v>
      </c>
      <c r="AB101" s="126"/>
      <c r="AC101" s="126"/>
      <c r="AD101" s="126"/>
      <c r="AE101" s="126"/>
      <c r="AF101" s="126"/>
      <c r="AG101" s="134">
        <f>W108+AG100</f>
        <v>43.859999999999985</v>
      </c>
      <c r="AH101" s="134"/>
      <c r="AI101" s="135"/>
    </row>
    <row r="102" spans="1:35" ht="13.5" thickBot="1">
      <c r="A102" s="141"/>
      <c r="B102" s="125" t="s">
        <v>58</v>
      </c>
      <c r="C102" s="126"/>
      <c r="D102" s="126"/>
      <c r="E102" s="126"/>
      <c r="F102" s="161"/>
      <c r="G102" s="156">
        <f>IF(G100&lt;G101,G101,G100)</f>
        <v>30</v>
      </c>
      <c r="H102" s="157"/>
      <c r="I102" s="157"/>
      <c r="J102" s="158"/>
      <c r="K102" s="160">
        <f>IF(K100&lt;K101,K101,K100)</f>
        <v>20</v>
      </c>
      <c r="L102" s="157"/>
      <c r="M102" s="157"/>
      <c r="N102" s="158"/>
      <c r="O102" s="246">
        <f>IF(O100&lt;O101,O101,O100)</f>
        <v>0</v>
      </c>
      <c r="P102" s="247"/>
      <c r="Q102" s="247"/>
      <c r="R102" s="248"/>
      <c r="S102" s="246">
        <f>IF(S100&lt;S101,S101,S100)</f>
        <v>0</v>
      </c>
      <c r="T102" s="247"/>
      <c r="U102" s="247"/>
      <c r="V102" s="248"/>
      <c r="W102" s="153">
        <f t="shared" si="7"/>
        <v>50</v>
      </c>
      <c r="X102" s="154"/>
      <c r="Y102" s="154"/>
      <c r="Z102" s="155"/>
      <c r="AA102" s="232" t="s">
        <v>57</v>
      </c>
      <c r="AB102" s="90"/>
      <c r="AC102" s="90"/>
      <c r="AD102" s="90"/>
      <c r="AE102" s="90"/>
      <c r="AF102" s="90"/>
      <c r="AG102" s="91">
        <f>-AG100+AG101-W109</f>
        <v>26.31599999999999</v>
      </c>
      <c r="AH102" s="91"/>
      <c r="AI102" s="85"/>
    </row>
    <row r="103" spans="1:35" ht="13.5" thickBot="1">
      <c r="A103" s="141"/>
      <c r="B103" s="125" t="s">
        <v>41</v>
      </c>
      <c r="C103" s="126"/>
      <c r="D103" s="126"/>
      <c r="E103" s="126"/>
      <c r="F103" s="161"/>
      <c r="G103" s="156">
        <v>16.5</v>
      </c>
      <c r="H103" s="157"/>
      <c r="I103" s="157"/>
      <c r="J103" s="158"/>
      <c r="K103" s="156">
        <v>16.5</v>
      </c>
      <c r="L103" s="157"/>
      <c r="M103" s="157"/>
      <c r="N103" s="158"/>
      <c r="O103" s="246">
        <v>0</v>
      </c>
      <c r="P103" s="247"/>
      <c r="Q103" s="247"/>
      <c r="R103" s="248"/>
      <c r="S103" s="246">
        <v>0</v>
      </c>
      <c r="T103" s="247"/>
      <c r="U103" s="247"/>
      <c r="V103" s="248"/>
      <c r="W103" s="153">
        <f t="shared" si="7"/>
        <v>33</v>
      </c>
      <c r="X103" s="154"/>
      <c r="Y103" s="154"/>
      <c r="Z103" s="155"/>
      <c r="AA103" s="230" t="s">
        <v>59</v>
      </c>
      <c r="AB103" s="231"/>
      <c r="AC103" s="231"/>
      <c r="AD103" s="231"/>
      <c r="AE103" s="231"/>
      <c r="AF103" s="231"/>
      <c r="AG103" s="266">
        <f>AG99+AG102</f>
        <v>26.31599999999999</v>
      </c>
      <c r="AH103" s="267"/>
      <c r="AI103" s="268"/>
    </row>
    <row r="104" spans="1:35" ht="12.75">
      <c r="A104" s="141"/>
      <c r="B104" s="125" t="s">
        <v>42</v>
      </c>
      <c r="C104" s="126"/>
      <c r="D104" s="126"/>
      <c r="E104" s="126"/>
      <c r="F104" s="161"/>
      <c r="G104" s="169">
        <v>16.5</v>
      </c>
      <c r="H104" s="167"/>
      <c r="I104" s="167"/>
      <c r="J104" s="168"/>
      <c r="K104" s="169">
        <v>16.5</v>
      </c>
      <c r="L104" s="167"/>
      <c r="M104" s="167"/>
      <c r="N104" s="168"/>
      <c r="O104" s="239">
        <v>0</v>
      </c>
      <c r="P104" s="240"/>
      <c r="Q104" s="240"/>
      <c r="R104" s="241"/>
      <c r="S104" s="239">
        <v>0</v>
      </c>
      <c r="T104" s="240"/>
      <c r="U104" s="240"/>
      <c r="V104" s="241"/>
      <c r="W104" s="153">
        <f t="shared" si="7"/>
        <v>33</v>
      </c>
      <c r="X104" s="154"/>
      <c r="Y104" s="154"/>
      <c r="Z104" s="155"/>
      <c r="AA104" s="136">
        <f>(W103+W102)/W99*100-$L$2</f>
        <v>0.5945558739255014</v>
      </c>
      <c r="AB104" s="136"/>
      <c r="AC104" s="136"/>
      <c r="AD104" s="136"/>
      <c r="AE104" s="136"/>
      <c r="AF104" s="136"/>
      <c r="AG104" s="136"/>
      <c r="AH104" s="136"/>
      <c r="AI104" s="136"/>
    </row>
    <row r="105" spans="1:35" ht="12.75">
      <c r="A105" s="141"/>
      <c r="B105" s="125" t="s">
        <v>43</v>
      </c>
      <c r="C105" s="126"/>
      <c r="D105" s="126"/>
      <c r="E105" s="126"/>
      <c r="F105" s="161"/>
      <c r="G105" s="165">
        <f>G103-G104</f>
        <v>0</v>
      </c>
      <c r="H105" s="163"/>
      <c r="I105" s="163"/>
      <c r="J105" s="164"/>
      <c r="K105" s="162">
        <f>K103-K104</f>
        <v>0</v>
      </c>
      <c r="L105" s="163"/>
      <c r="M105" s="163"/>
      <c r="N105" s="164"/>
      <c r="O105" s="275">
        <f>O103-O104</f>
        <v>0</v>
      </c>
      <c r="P105" s="276"/>
      <c r="Q105" s="276"/>
      <c r="R105" s="277"/>
      <c r="S105" s="275">
        <v>0</v>
      </c>
      <c r="T105" s="276"/>
      <c r="U105" s="276"/>
      <c r="V105" s="277"/>
      <c r="W105" s="153">
        <f t="shared" si="7"/>
        <v>0</v>
      </c>
      <c r="X105" s="154"/>
      <c r="Y105" s="154"/>
      <c r="Z105" s="155"/>
      <c r="AA105" s="132">
        <f>AG98*W98/100</f>
        <v>0</v>
      </c>
      <c r="AB105" s="233"/>
      <c r="AC105" s="233"/>
      <c r="AD105" s="233"/>
      <c r="AE105" s="233"/>
      <c r="AF105" s="233"/>
      <c r="AG105" s="233"/>
      <c r="AH105" s="233"/>
      <c r="AI105" s="233"/>
    </row>
    <row r="106" spans="1:35" ht="12.75">
      <c r="A106" s="141"/>
      <c r="B106" s="125" t="s">
        <v>30</v>
      </c>
      <c r="C106" s="126"/>
      <c r="D106" s="126"/>
      <c r="E106" s="126"/>
      <c r="F106" s="161"/>
      <c r="G106" s="156">
        <f>G99/100*$Q$2+($AT$5+$AG106*$E$5)/2</f>
        <v>63.42999999999999</v>
      </c>
      <c r="H106" s="157"/>
      <c r="I106" s="157"/>
      <c r="J106" s="158"/>
      <c r="K106" s="156">
        <f>K99/100*$Q$2+($AT$5+$AG106*$E$5)/2</f>
        <v>63.42999999999999</v>
      </c>
      <c r="L106" s="157"/>
      <c r="M106" s="157"/>
      <c r="N106" s="158"/>
      <c r="O106" s="246">
        <f>O99/100*$L$2</f>
        <v>0</v>
      </c>
      <c r="P106" s="247"/>
      <c r="Q106" s="247"/>
      <c r="R106" s="248"/>
      <c r="S106" s="246">
        <f>S99/100*$L$2</f>
        <v>0</v>
      </c>
      <c r="T106" s="247"/>
      <c r="U106" s="247"/>
      <c r="V106" s="248"/>
      <c r="W106" s="153">
        <f t="shared" si="7"/>
        <v>126.85999999999999</v>
      </c>
      <c r="X106" s="154"/>
      <c r="Y106" s="154"/>
      <c r="Z106" s="155"/>
      <c r="AA106" s="283" t="s">
        <v>161</v>
      </c>
      <c r="AB106" s="233"/>
      <c r="AC106" s="233"/>
      <c r="AD106" s="233"/>
      <c r="AE106" s="233"/>
      <c r="AF106" s="233"/>
      <c r="AG106" s="233">
        <v>20</v>
      </c>
      <c r="AH106" s="233"/>
      <c r="AI106" s="233"/>
    </row>
    <row r="107" spans="1:26" ht="12.75">
      <c r="A107" s="141"/>
      <c r="B107" s="125" t="s">
        <v>44</v>
      </c>
      <c r="C107" s="126"/>
      <c r="D107" s="126"/>
      <c r="E107" s="126"/>
      <c r="F107" s="161"/>
      <c r="G107" s="156">
        <f>G106-G103-G102</f>
        <v>16.929999999999993</v>
      </c>
      <c r="H107" s="157"/>
      <c r="I107" s="157"/>
      <c r="J107" s="158"/>
      <c r="K107" s="160">
        <f>K106-K103-K102</f>
        <v>26.929999999999993</v>
      </c>
      <c r="L107" s="157"/>
      <c r="M107" s="157"/>
      <c r="N107" s="158"/>
      <c r="O107" s="246">
        <f>O106-O103-O102</f>
        <v>0</v>
      </c>
      <c r="P107" s="247"/>
      <c r="Q107" s="247"/>
      <c r="R107" s="248"/>
      <c r="S107" s="246">
        <f>S106-S103-S102</f>
        <v>0</v>
      </c>
      <c r="T107" s="247"/>
      <c r="U107" s="247"/>
      <c r="V107" s="248"/>
      <c r="W107" s="153">
        <f t="shared" si="7"/>
        <v>43.859999999999985</v>
      </c>
      <c r="X107" s="154"/>
      <c r="Y107" s="154"/>
      <c r="Z107" s="155"/>
    </row>
    <row r="108" spans="1:26" ht="12.75">
      <c r="A108" s="141"/>
      <c r="B108" s="125" t="s">
        <v>45</v>
      </c>
      <c r="C108" s="126"/>
      <c r="D108" s="126"/>
      <c r="E108" s="126"/>
      <c r="F108" s="161"/>
      <c r="G108" s="156">
        <f>G107+G105</f>
        <v>16.929999999999993</v>
      </c>
      <c r="H108" s="157"/>
      <c r="I108" s="157"/>
      <c r="J108" s="158"/>
      <c r="K108" s="160">
        <f>K107+K105</f>
        <v>26.929999999999993</v>
      </c>
      <c r="L108" s="157"/>
      <c r="M108" s="157"/>
      <c r="N108" s="158"/>
      <c r="O108" s="246">
        <f>O107+O105</f>
        <v>0</v>
      </c>
      <c r="P108" s="247"/>
      <c r="Q108" s="247"/>
      <c r="R108" s="248"/>
      <c r="S108" s="246">
        <f>S107+S105</f>
        <v>0</v>
      </c>
      <c r="T108" s="247"/>
      <c r="U108" s="247"/>
      <c r="V108" s="248"/>
      <c r="W108" s="153">
        <f t="shared" si="7"/>
        <v>43.859999999999985</v>
      </c>
      <c r="X108" s="154"/>
      <c r="Y108" s="154"/>
      <c r="Z108" s="155"/>
    </row>
    <row r="109" spans="1:26" ht="12.75">
      <c r="A109" s="141"/>
      <c r="B109" s="194" t="s">
        <v>26</v>
      </c>
      <c r="C109" s="98"/>
      <c r="D109" s="98"/>
      <c r="E109" s="98"/>
      <c r="F109" s="195"/>
      <c r="G109" s="196">
        <f>$AG101/100*$AL$3</f>
        <v>8.771999999999998</v>
      </c>
      <c r="H109" s="197"/>
      <c r="I109" s="197"/>
      <c r="J109" s="198"/>
      <c r="K109" s="196">
        <f>$AG101/100*$AL$4</f>
        <v>8.771999999999998</v>
      </c>
      <c r="L109" s="197"/>
      <c r="M109" s="197"/>
      <c r="N109" s="198"/>
      <c r="O109" s="137">
        <v>0</v>
      </c>
      <c r="P109" s="138"/>
      <c r="Q109" s="138"/>
      <c r="R109" s="139"/>
      <c r="S109" s="137">
        <v>0</v>
      </c>
      <c r="T109" s="138"/>
      <c r="U109" s="138"/>
      <c r="V109" s="139"/>
      <c r="W109" s="153">
        <f t="shared" si="7"/>
        <v>17.543999999999997</v>
      </c>
      <c r="X109" s="154"/>
      <c r="Y109" s="154"/>
      <c r="Z109" s="155"/>
    </row>
    <row r="110" spans="1:26" ht="13.5" thickBot="1">
      <c r="A110" s="142"/>
      <c r="B110" s="191" t="s">
        <v>28</v>
      </c>
      <c r="C110" s="192"/>
      <c r="D110" s="192"/>
      <c r="E110" s="192"/>
      <c r="F110" s="193"/>
      <c r="G110" s="149">
        <f>IF(G109&lt;0,G102,G102+G109)</f>
        <v>38.772</v>
      </c>
      <c r="H110" s="147"/>
      <c r="I110" s="147"/>
      <c r="J110" s="148"/>
      <c r="K110" s="146">
        <f>IF(K109&lt;0,K102,K102+K109)</f>
        <v>28.772</v>
      </c>
      <c r="L110" s="147"/>
      <c r="M110" s="147"/>
      <c r="N110" s="148"/>
      <c r="O110" s="255">
        <f>IF(O109&lt;0,O102,O102+O109)</f>
        <v>0</v>
      </c>
      <c r="P110" s="256"/>
      <c r="Q110" s="256"/>
      <c r="R110" s="257"/>
      <c r="S110" s="255">
        <f>IF(S109&lt;0,S102,S102+S109)</f>
        <v>0</v>
      </c>
      <c r="T110" s="256"/>
      <c r="U110" s="256"/>
      <c r="V110" s="257"/>
      <c r="W110" s="150">
        <f t="shared" si="7"/>
        <v>67.544</v>
      </c>
      <c r="X110" s="151"/>
      <c r="Y110" s="151"/>
      <c r="Z110" s="152"/>
    </row>
    <row r="111" spans="1:35" ht="12.75" customHeight="1">
      <c r="A111" s="143" t="s">
        <v>69</v>
      </c>
      <c r="B111" s="93" t="s">
        <v>23</v>
      </c>
      <c r="C111" s="94"/>
      <c r="D111" s="94"/>
      <c r="E111" s="94"/>
      <c r="F111" s="199"/>
      <c r="G111" s="185">
        <v>7180</v>
      </c>
      <c r="H111" s="183"/>
      <c r="I111" s="183"/>
      <c r="J111" s="184"/>
      <c r="K111" s="182">
        <v>7180</v>
      </c>
      <c r="L111" s="183"/>
      <c r="M111" s="183"/>
      <c r="N111" s="184"/>
      <c r="O111" s="242">
        <v>0</v>
      </c>
      <c r="P111" s="243"/>
      <c r="Q111" s="243"/>
      <c r="R111" s="244"/>
      <c r="S111" s="242">
        <v>0</v>
      </c>
      <c r="T111" s="243"/>
      <c r="U111" s="243"/>
      <c r="V111" s="244"/>
      <c r="W111" s="170">
        <f>SUM(G111:V111)</f>
        <v>14360</v>
      </c>
      <c r="X111" s="171"/>
      <c r="Y111" s="171"/>
      <c r="Z111" s="172"/>
      <c r="AA111" s="236" t="s">
        <v>53</v>
      </c>
      <c r="AB111" s="94"/>
      <c r="AC111" s="94"/>
      <c r="AD111" s="94"/>
      <c r="AE111" s="94"/>
      <c r="AF111" s="94"/>
      <c r="AG111" s="269">
        <v>0</v>
      </c>
      <c r="AH111" s="270"/>
      <c r="AI111" s="271"/>
    </row>
    <row r="112" spans="1:35" ht="12.75">
      <c r="A112" s="144"/>
      <c r="B112" s="125" t="s">
        <v>24</v>
      </c>
      <c r="C112" s="126"/>
      <c r="D112" s="126"/>
      <c r="E112" s="126"/>
      <c r="F112" s="161"/>
      <c r="G112" s="239">
        <v>7180</v>
      </c>
      <c r="H112" s="240"/>
      <c r="I112" s="240"/>
      <c r="J112" s="241"/>
      <c r="K112" s="166">
        <v>7180</v>
      </c>
      <c r="L112" s="167"/>
      <c r="M112" s="167"/>
      <c r="N112" s="168"/>
      <c r="O112" s="239">
        <v>0</v>
      </c>
      <c r="P112" s="240"/>
      <c r="Q112" s="240"/>
      <c r="R112" s="241"/>
      <c r="S112" s="239">
        <v>0</v>
      </c>
      <c r="T112" s="240"/>
      <c r="U112" s="240"/>
      <c r="V112" s="241"/>
      <c r="W112" s="153">
        <f aca="true" t="shared" si="8" ref="W112:W123">G112+K112+O112+S112</f>
        <v>14360</v>
      </c>
      <c r="X112" s="154"/>
      <c r="Y112" s="154"/>
      <c r="Z112" s="155"/>
      <c r="AA112" s="205" t="s">
        <v>54</v>
      </c>
      <c r="AB112" s="126"/>
      <c r="AC112" s="126"/>
      <c r="AD112" s="126"/>
      <c r="AE112" s="126"/>
      <c r="AF112" s="126"/>
      <c r="AG112" s="278">
        <v>0</v>
      </c>
      <c r="AH112" s="278"/>
      <c r="AI112" s="279"/>
    </row>
    <row r="113" spans="1:35" ht="12.75">
      <c r="A113" s="144"/>
      <c r="B113" s="125" t="s">
        <v>29</v>
      </c>
      <c r="C113" s="126"/>
      <c r="D113" s="126"/>
      <c r="E113" s="126"/>
      <c r="F113" s="161"/>
      <c r="G113" s="156">
        <v>30</v>
      </c>
      <c r="H113" s="157"/>
      <c r="I113" s="157"/>
      <c r="J113" s="158"/>
      <c r="K113" s="156">
        <v>20</v>
      </c>
      <c r="L113" s="157"/>
      <c r="M113" s="157"/>
      <c r="N113" s="158"/>
      <c r="O113" s="156">
        <f>O112*0.005</f>
        <v>0</v>
      </c>
      <c r="P113" s="157"/>
      <c r="Q113" s="157"/>
      <c r="R113" s="158"/>
      <c r="S113" s="156">
        <f>S112*0.005</f>
        <v>0</v>
      </c>
      <c r="T113" s="157"/>
      <c r="U113" s="157"/>
      <c r="V113" s="158"/>
      <c r="W113" s="153">
        <f t="shared" si="8"/>
        <v>50</v>
      </c>
      <c r="X113" s="154"/>
      <c r="Y113" s="154"/>
      <c r="Z113" s="155"/>
      <c r="AA113" s="205" t="s">
        <v>55</v>
      </c>
      <c r="AB113" s="126"/>
      <c r="AC113" s="126"/>
      <c r="AD113" s="126"/>
      <c r="AE113" s="126"/>
      <c r="AF113" s="126"/>
      <c r="AG113" s="134">
        <f>AG112</f>
        <v>0</v>
      </c>
      <c r="AH113" s="134"/>
      <c r="AI113" s="135"/>
    </row>
    <row r="114" spans="1:35" ht="12.75">
      <c r="A114" s="144"/>
      <c r="B114" s="125" t="s">
        <v>10</v>
      </c>
      <c r="C114" s="126"/>
      <c r="D114" s="126"/>
      <c r="E114" s="126"/>
      <c r="F114" s="161"/>
      <c r="G114" s="169">
        <v>30</v>
      </c>
      <c r="H114" s="167"/>
      <c r="I114" s="167"/>
      <c r="J114" s="168"/>
      <c r="K114" s="166">
        <v>20</v>
      </c>
      <c r="L114" s="167"/>
      <c r="M114" s="167"/>
      <c r="N114" s="168"/>
      <c r="O114" s="239">
        <v>0</v>
      </c>
      <c r="P114" s="240"/>
      <c r="Q114" s="240"/>
      <c r="R114" s="241"/>
      <c r="S114" s="239">
        <v>0</v>
      </c>
      <c r="T114" s="240"/>
      <c r="U114" s="240"/>
      <c r="V114" s="241"/>
      <c r="W114" s="153">
        <f t="shared" si="8"/>
        <v>50</v>
      </c>
      <c r="X114" s="154"/>
      <c r="Y114" s="154"/>
      <c r="Z114" s="155"/>
      <c r="AA114" s="205" t="s">
        <v>56</v>
      </c>
      <c r="AB114" s="126"/>
      <c r="AC114" s="126"/>
      <c r="AD114" s="126"/>
      <c r="AE114" s="126"/>
      <c r="AF114" s="126"/>
      <c r="AG114" s="134">
        <f>W121+AG113</f>
        <v>45.25999999999999</v>
      </c>
      <c r="AH114" s="134"/>
      <c r="AI114" s="135"/>
    </row>
    <row r="115" spans="1:35" ht="13.5" thickBot="1">
      <c r="A115" s="144"/>
      <c r="B115" s="125" t="s">
        <v>58</v>
      </c>
      <c r="C115" s="126"/>
      <c r="D115" s="126"/>
      <c r="E115" s="126"/>
      <c r="F115" s="161"/>
      <c r="G115" s="156">
        <f>IF(G113&lt;G114,G114,G113)</f>
        <v>30</v>
      </c>
      <c r="H115" s="157"/>
      <c r="I115" s="157"/>
      <c r="J115" s="158"/>
      <c r="K115" s="160">
        <f>IF(K113&lt;K114,K114,K113)</f>
        <v>20</v>
      </c>
      <c r="L115" s="157"/>
      <c r="M115" s="157"/>
      <c r="N115" s="158"/>
      <c r="O115" s="246">
        <f>IF(O113&lt;O114,O114,O113)</f>
        <v>0</v>
      </c>
      <c r="P115" s="247"/>
      <c r="Q115" s="247"/>
      <c r="R115" s="248"/>
      <c r="S115" s="246">
        <f>IF(S113&lt;S114,S114,S113)</f>
        <v>0</v>
      </c>
      <c r="T115" s="247"/>
      <c r="U115" s="247"/>
      <c r="V115" s="248"/>
      <c r="W115" s="153">
        <f t="shared" si="8"/>
        <v>50</v>
      </c>
      <c r="X115" s="154"/>
      <c r="Y115" s="154"/>
      <c r="Z115" s="155"/>
      <c r="AA115" s="232" t="s">
        <v>57</v>
      </c>
      <c r="AB115" s="90"/>
      <c r="AC115" s="90"/>
      <c r="AD115" s="90"/>
      <c r="AE115" s="90"/>
      <c r="AF115" s="90"/>
      <c r="AG115" s="91">
        <f>-AG113+AG114-W122</f>
        <v>27.155999999999995</v>
      </c>
      <c r="AH115" s="91"/>
      <c r="AI115" s="85"/>
    </row>
    <row r="116" spans="1:35" ht="13.5" thickBot="1">
      <c r="A116" s="144"/>
      <c r="B116" s="125" t="s">
        <v>41</v>
      </c>
      <c r="C116" s="126"/>
      <c r="D116" s="126"/>
      <c r="E116" s="126"/>
      <c r="F116" s="161"/>
      <c r="G116" s="156">
        <v>16.5</v>
      </c>
      <c r="H116" s="157"/>
      <c r="I116" s="157"/>
      <c r="J116" s="158"/>
      <c r="K116" s="156">
        <v>16.5</v>
      </c>
      <c r="L116" s="157"/>
      <c r="M116" s="157"/>
      <c r="N116" s="158"/>
      <c r="O116" s="246">
        <v>0</v>
      </c>
      <c r="P116" s="247"/>
      <c r="Q116" s="247"/>
      <c r="R116" s="248"/>
      <c r="S116" s="246">
        <v>0</v>
      </c>
      <c r="T116" s="247"/>
      <c r="U116" s="247"/>
      <c r="V116" s="248"/>
      <c r="W116" s="153">
        <f t="shared" si="8"/>
        <v>33</v>
      </c>
      <c r="X116" s="154"/>
      <c r="Y116" s="154"/>
      <c r="Z116" s="155"/>
      <c r="AA116" s="230" t="s">
        <v>59</v>
      </c>
      <c r="AB116" s="231"/>
      <c r="AC116" s="231"/>
      <c r="AD116" s="231"/>
      <c r="AE116" s="231"/>
      <c r="AF116" s="231"/>
      <c r="AG116" s="266">
        <f>AG112+AG115</f>
        <v>27.155999999999995</v>
      </c>
      <c r="AH116" s="267"/>
      <c r="AI116" s="268"/>
    </row>
    <row r="117" spans="1:35" ht="12.75">
      <c r="A117" s="144"/>
      <c r="B117" s="125" t="s">
        <v>42</v>
      </c>
      <c r="C117" s="126"/>
      <c r="D117" s="126"/>
      <c r="E117" s="126"/>
      <c r="F117" s="161"/>
      <c r="G117" s="169">
        <v>16.5</v>
      </c>
      <c r="H117" s="167"/>
      <c r="I117" s="167"/>
      <c r="J117" s="168"/>
      <c r="K117" s="169">
        <v>16.5</v>
      </c>
      <c r="L117" s="167"/>
      <c r="M117" s="167"/>
      <c r="N117" s="168"/>
      <c r="O117" s="239">
        <v>0</v>
      </c>
      <c r="P117" s="240"/>
      <c r="Q117" s="240"/>
      <c r="R117" s="241"/>
      <c r="S117" s="239">
        <v>0</v>
      </c>
      <c r="T117" s="240"/>
      <c r="U117" s="240"/>
      <c r="V117" s="241"/>
      <c r="W117" s="153">
        <f t="shared" si="8"/>
        <v>33</v>
      </c>
      <c r="X117" s="154"/>
      <c r="Y117" s="154"/>
      <c r="Z117" s="155"/>
      <c r="AA117" s="136">
        <f>(W116+W115)/W112*100-$L$2</f>
        <v>0.5779944289693594</v>
      </c>
      <c r="AB117" s="136"/>
      <c r="AC117" s="136"/>
      <c r="AD117" s="136"/>
      <c r="AE117" s="136"/>
      <c r="AF117" s="136"/>
      <c r="AG117" s="136"/>
      <c r="AH117" s="136"/>
      <c r="AI117" s="136"/>
    </row>
    <row r="118" spans="1:35" ht="12.75">
      <c r="A118" s="144"/>
      <c r="B118" s="125" t="s">
        <v>43</v>
      </c>
      <c r="C118" s="126"/>
      <c r="D118" s="126"/>
      <c r="E118" s="126"/>
      <c r="F118" s="161"/>
      <c r="G118" s="165">
        <f>G116-G117</f>
        <v>0</v>
      </c>
      <c r="H118" s="163"/>
      <c r="I118" s="163"/>
      <c r="J118" s="164"/>
      <c r="K118" s="162">
        <f>K116-K117</f>
        <v>0</v>
      </c>
      <c r="L118" s="163"/>
      <c r="M118" s="163"/>
      <c r="N118" s="164"/>
      <c r="O118" s="275">
        <f>O116-O117</f>
        <v>0</v>
      </c>
      <c r="P118" s="276"/>
      <c r="Q118" s="276"/>
      <c r="R118" s="277"/>
      <c r="S118" s="275">
        <v>0</v>
      </c>
      <c r="T118" s="276"/>
      <c r="U118" s="276"/>
      <c r="V118" s="277"/>
      <c r="W118" s="153">
        <f t="shared" si="8"/>
        <v>0</v>
      </c>
      <c r="X118" s="154"/>
      <c r="Y118" s="154"/>
      <c r="Z118" s="155"/>
      <c r="AA118" s="132">
        <f>AG111*W111/100</f>
        <v>0</v>
      </c>
      <c r="AB118" s="233"/>
      <c r="AC118" s="233"/>
      <c r="AD118" s="233"/>
      <c r="AE118" s="233"/>
      <c r="AF118" s="233"/>
      <c r="AG118" s="233"/>
      <c r="AH118" s="233"/>
      <c r="AI118" s="233"/>
    </row>
    <row r="119" spans="1:35" ht="12.75">
      <c r="A119" s="144"/>
      <c r="B119" s="125" t="s">
        <v>30</v>
      </c>
      <c r="C119" s="126"/>
      <c r="D119" s="126"/>
      <c r="E119" s="126"/>
      <c r="F119" s="161"/>
      <c r="G119" s="156">
        <f>G112/100*$Q$2+($AT$5+$AG119*$E$5)/2</f>
        <v>64.13</v>
      </c>
      <c r="H119" s="157"/>
      <c r="I119" s="157"/>
      <c r="J119" s="158"/>
      <c r="K119" s="156">
        <f>K112/100*$Q$2+($AT$5+$AG119*$E$5)/2</f>
        <v>64.13</v>
      </c>
      <c r="L119" s="157"/>
      <c r="M119" s="157"/>
      <c r="N119" s="158"/>
      <c r="O119" s="246">
        <f>O112/100*$L$2</f>
        <v>0</v>
      </c>
      <c r="P119" s="247"/>
      <c r="Q119" s="247"/>
      <c r="R119" s="248"/>
      <c r="S119" s="246">
        <f>S112/100*$L$2</f>
        <v>0</v>
      </c>
      <c r="T119" s="247"/>
      <c r="U119" s="247"/>
      <c r="V119" s="248"/>
      <c r="W119" s="153">
        <f t="shared" si="8"/>
        <v>128.26</v>
      </c>
      <c r="X119" s="154"/>
      <c r="Y119" s="154"/>
      <c r="Z119" s="155"/>
      <c r="AA119" s="283" t="s">
        <v>161</v>
      </c>
      <c r="AB119" s="233"/>
      <c r="AC119" s="233"/>
      <c r="AD119" s="233"/>
      <c r="AE119" s="233"/>
      <c r="AF119" s="233"/>
      <c r="AG119" s="233">
        <v>20</v>
      </c>
      <c r="AH119" s="233"/>
      <c r="AI119" s="233"/>
    </row>
    <row r="120" spans="1:26" ht="12.75">
      <c r="A120" s="144"/>
      <c r="B120" s="125" t="s">
        <v>44</v>
      </c>
      <c r="C120" s="126"/>
      <c r="D120" s="126"/>
      <c r="E120" s="126"/>
      <c r="F120" s="161"/>
      <c r="G120" s="156">
        <f>G119-G116-G115</f>
        <v>17.629999999999995</v>
      </c>
      <c r="H120" s="157"/>
      <c r="I120" s="157"/>
      <c r="J120" s="158"/>
      <c r="K120" s="160">
        <f>K119-K116-K115</f>
        <v>27.629999999999995</v>
      </c>
      <c r="L120" s="157"/>
      <c r="M120" s="157"/>
      <c r="N120" s="158"/>
      <c r="O120" s="246">
        <f>O119-O116-O115</f>
        <v>0</v>
      </c>
      <c r="P120" s="247"/>
      <c r="Q120" s="247"/>
      <c r="R120" s="248"/>
      <c r="S120" s="246">
        <f>S119-S116-S115</f>
        <v>0</v>
      </c>
      <c r="T120" s="247"/>
      <c r="U120" s="247"/>
      <c r="V120" s="248"/>
      <c r="W120" s="153">
        <f t="shared" si="8"/>
        <v>45.25999999999999</v>
      </c>
      <c r="X120" s="154"/>
      <c r="Y120" s="154"/>
      <c r="Z120" s="155"/>
    </row>
    <row r="121" spans="1:26" ht="12.75">
      <c r="A121" s="144"/>
      <c r="B121" s="125" t="s">
        <v>45</v>
      </c>
      <c r="C121" s="126"/>
      <c r="D121" s="126"/>
      <c r="E121" s="126"/>
      <c r="F121" s="161"/>
      <c r="G121" s="156">
        <f>G120+G118</f>
        <v>17.629999999999995</v>
      </c>
      <c r="H121" s="157"/>
      <c r="I121" s="157"/>
      <c r="J121" s="158"/>
      <c r="K121" s="160">
        <f>K120+K118</f>
        <v>27.629999999999995</v>
      </c>
      <c r="L121" s="157"/>
      <c r="M121" s="157"/>
      <c r="N121" s="158"/>
      <c r="O121" s="246">
        <f>O120+O118</f>
        <v>0</v>
      </c>
      <c r="P121" s="247"/>
      <c r="Q121" s="247"/>
      <c r="R121" s="248"/>
      <c r="S121" s="246">
        <f>S120+S118</f>
        <v>0</v>
      </c>
      <c r="T121" s="247"/>
      <c r="U121" s="247"/>
      <c r="V121" s="248"/>
      <c r="W121" s="153">
        <f t="shared" si="8"/>
        <v>45.25999999999999</v>
      </c>
      <c r="X121" s="154"/>
      <c r="Y121" s="154"/>
      <c r="Z121" s="155"/>
    </row>
    <row r="122" spans="1:26" ht="12.75">
      <c r="A122" s="144"/>
      <c r="B122" s="194" t="s">
        <v>26</v>
      </c>
      <c r="C122" s="98"/>
      <c r="D122" s="98"/>
      <c r="E122" s="98"/>
      <c r="F122" s="195"/>
      <c r="G122" s="196">
        <f>$AG114/100*$AL$3</f>
        <v>9.051999999999998</v>
      </c>
      <c r="H122" s="197"/>
      <c r="I122" s="197"/>
      <c r="J122" s="198"/>
      <c r="K122" s="196">
        <f>$AG114/100*$AL$4</f>
        <v>9.051999999999998</v>
      </c>
      <c r="L122" s="197"/>
      <c r="M122" s="197"/>
      <c r="N122" s="198"/>
      <c r="O122" s="137">
        <v>0</v>
      </c>
      <c r="P122" s="138"/>
      <c r="Q122" s="138"/>
      <c r="R122" s="139"/>
      <c r="S122" s="137">
        <v>0</v>
      </c>
      <c r="T122" s="138"/>
      <c r="U122" s="138"/>
      <c r="V122" s="139"/>
      <c r="W122" s="153">
        <f t="shared" si="8"/>
        <v>18.103999999999996</v>
      </c>
      <c r="X122" s="154"/>
      <c r="Y122" s="154"/>
      <c r="Z122" s="155"/>
    </row>
    <row r="123" spans="1:26" ht="13.5" thickBot="1">
      <c r="A123" s="144"/>
      <c r="B123" s="191" t="s">
        <v>28</v>
      </c>
      <c r="C123" s="192"/>
      <c r="D123" s="192"/>
      <c r="E123" s="192"/>
      <c r="F123" s="193"/>
      <c r="G123" s="149">
        <f>IF(G122&lt;0,G115,G115+G122)</f>
        <v>39.052</v>
      </c>
      <c r="H123" s="147"/>
      <c r="I123" s="147"/>
      <c r="J123" s="148"/>
      <c r="K123" s="146">
        <f>IF(K122&lt;0,K115,K115+K122)</f>
        <v>29.052</v>
      </c>
      <c r="L123" s="147"/>
      <c r="M123" s="147"/>
      <c r="N123" s="148"/>
      <c r="O123" s="255">
        <f>IF(O122&lt;0,O115,O115+O122)</f>
        <v>0</v>
      </c>
      <c r="P123" s="256"/>
      <c r="Q123" s="256"/>
      <c r="R123" s="257"/>
      <c r="S123" s="255">
        <f>IF(S122&lt;0,S115,S115+S122)</f>
        <v>0</v>
      </c>
      <c r="T123" s="256"/>
      <c r="U123" s="256"/>
      <c r="V123" s="257"/>
      <c r="W123" s="150">
        <f t="shared" si="8"/>
        <v>68.104</v>
      </c>
      <c r="X123" s="151"/>
      <c r="Y123" s="151"/>
      <c r="Z123" s="152"/>
    </row>
    <row r="124" spans="1:35" ht="12.75" customHeight="1">
      <c r="A124" s="143" t="s">
        <v>70</v>
      </c>
      <c r="B124" s="93" t="s">
        <v>23</v>
      </c>
      <c r="C124" s="94"/>
      <c r="D124" s="94"/>
      <c r="E124" s="94"/>
      <c r="F124" s="199"/>
      <c r="G124" s="185">
        <v>7280</v>
      </c>
      <c r="H124" s="183"/>
      <c r="I124" s="183"/>
      <c r="J124" s="184"/>
      <c r="K124" s="182">
        <v>7280</v>
      </c>
      <c r="L124" s="183"/>
      <c r="M124" s="183"/>
      <c r="N124" s="184"/>
      <c r="O124" s="242">
        <v>0</v>
      </c>
      <c r="P124" s="243"/>
      <c r="Q124" s="243"/>
      <c r="R124" s="244"/>
      <c r="S124" s="242">
        <v>0</v>
      </c>
      <c r="T124" s="243"/>
      <c r="U124" s="243"/>
      <c r="V124" s="244"/>
      <c r="W124" s="170">
        <f>SUM(G124:V124)</f>
        <v>14560</v>
      </c>
      <c r="X124" s="171"/>
      <c r="Y124" s="171"/>
      <c r="Z124" s="172"/>
      <c r="AA124" s="236" t="s">
        <v>53</v>
      </c>
      <c r="AB124" s="94"/>
      <c r="AC124" s="94"/>
      <c r="AD124" s="94"/>
      <c r="AE124" s="94"/>
      <c r="AF124" s="94"/>
      <c r="AG124" s="269">
        <v>0</v>
      </c>
      <c r="AH124" s="270"/>
      <c r="AI124" s="271"/>
    </row>
    <row r="125" spans="1:35" ht="12.75">
      <c r="A125" s="144"/>
      <c r="B125" s="125" t="s">
        <v>24</v>
      </c>
      <c r="C125" s="126"/>
      <c r="D125" s="126"/>
      <c r="E125" s="126"/>
      <c r="F125" s="161"/>
      <c r="G125" s="239">
        <v>7280</v>
      </c>
      <c r="H125" s="240"/>
      <c r="I125" s="240"/>
      <c r="J125" s="241"/>
      <c r="K125" s="166">
        <v>7280</v>
      </c>
      <c r="L125" s="167"/>
      <c r="M125" s="167"/>
      <c r="N125" s="168"/>
      <c r="O125" s="239">
        <v>0</v>
      </c>
      <c r="P125" s="240"/>
      <c r="Q125" s="240"/>
      <c r="R125" s="241"/>
      <c r="S125" s="239">
        <v>0</v>
      </c>
      <c r="T125" s="240"/>
      <c r="U125" s="240"/>
      <c r="V125" s="241"/>
      <c r="W125" s="153">
        <f aca="true" t="shared" si="9" ref="W125:W136">G125+K125+O125+S125</f>
        <v>14560</v>
      </c>
      <c r="X125" s="154"/>
      <c r="Y125" s="154"/>
      <c r="Z125" s="155"/>
      <c r="AA125" s="205" t="s">
        <v>54</v>
      </c>
      <c r="AB125" s="126"/>
      <c r="AC125" s="126"/>
      <c r="AD125" s="126"/>
      <c r="AE125" s="126"/>
      <c r="AF125" s="126"/>
      <c r="AG125" s="278">
        <v>0</v>
      </c>
      <c r="AH125" s="278"/>
      <c r="AI125" s="279"/>
    </row>
    <row r="126" spans="1:35" ht="12.75">
      <c r="A126" s="144"/>
      <c r="B126" s="125" t="s">
        <v>29</v>
      </c>
      <c r="C126" s="126"/>
      <c r="D126" s="126"/>
      <c r="E126" s="126"/>
      <c r="F126" s="161"/>
      <c r="G126" s="156">
        <v>30</v>
      </c>
      <c r="H126" s="157"/>
      <c r="I126" s="157"/>
      <c r="J126" s="158"/>
      <c r="K126" s="156">
        <v>20</v>
      </c>
      <c r="L126" s="157"/>
      <c r="M126" s="157"/>
      <c r="N126" s="158"/>
      <c r="O126" s="156">
        <f>O125*0.005</f>
        <v>0</v>
      </c>
      <c r="P126" s="157"/>
      <c r="Q126" s="157"/>
      <c r="R126" s="158"/>
      <c r="S126" s="156">
        <f>S125*0.005</f>
        <v>0</v>
      </c>
      <c r="T126" s="157"/>
      <c r="U126" s="157"/>
      <c r="V126" s="158"/>
      <c r="W126" s="153">
        <f t="shared" si="9"/>
        <v>50</v>
      </c>
      <c r="X126" s="154"/>
      <c r="Y126" s="154"/>
      <c r="Z126" s="155"/>
      <c r="AA126" s="205" t="s">
        <v>55</v>
      </c>
      <c r="AB126" s="126"/>
      <c r="AC126" s="126"/>
      <c r="AD126" s="126"/>
      <c r="AE126" s="126"/>
      <c r="AF126" s="126"/>
      <c r="AG126" s="134">
        <f>AG125</f>
        <v>0</v>
      </c>
      <c r="AH126" s="134"/>
      <c r="AI126" s="135"/>
    </row>
    <row r="127" spans="1:35" ht="12.75">
      <c r="A127" s="144"/>
      <c r="B127" s="125" t="s">
        <v>10</v>
      </c>
      <c r="C127" s="126"/>
      <c r="D127" s="126"/>
      <c r="E127" s="126"/>
      <c r="F127" s="161"/>
      <c r="G127" s="169">
        <v>30</v>
      </c>
      <c r="H127" s="167"/>
      <c r="I127" s="167"/>
      <c r="J127" s="168"/>
      <c r="K127" s="166">
        <v>20</v>
      </c>
      <c r="L127" s="167"/>
      <c r="M127" s="167"/>
      <c r="N127" s="168"/>
      <c r="O127" s="239">
        <v>0</v>
      </c>
      <c r="P127" s="240"/>
      <c r="Q127" s="240"/>
      <c r="R127" s="241"/>
      <c r="S127" s="239">
        <v>0</v>
      </c>
      <c r="T127" s="240"/>
      <c r="U127" s="240"/>
      <c r="V127" s="241"/>
      <c r="W127" s="153">
        <f t="shared" si="9"/>
        <v>50</v>
      </c>
      <c r="X127" s="154"/>
      <c r="Y127" s="154"/>
      <c r="Z127" s="155"/>
      <c r="AA127" s="205" t="s">
        <v>56</v>
      </c>
      <c r="AB127" s="126"/>
      <c r="AC127" s="126"/>
      <c r="AD127" s="126"/>
      <c r="AE127" s="126"/>
      <c r="AF127" s="126"/>
      <c r="AG127" s="134">
        <f>W134+AG126</f>
        <v>45.95999999999998</v>
      </c>
      <c r="AH127" s="134"/>
      <c r="AI127" s="135"/>
    </row>
    <row r="128" spans="1:35" ht="13.5" thickBot="1">
      <c r="A128" s="144"/>
      <c r="B128" s="125" t="s">
        <v>58</v>
      </c>
      <c r="C128" s="126"/>
      <c r="D128" s="126"/>
      <c r="E128" s="126"/>
      <c r="F128" s="161"/>
      <c r="G128" s="156">
        <f>IF(G126&lt;G127,G127,G126)</f>
        <v>30</v>
      </c>
      <c r="H128" s="157"/>
      <c r="I128" s="157"/>
      <c r="J128" s="158"/>
      <c r="K128" s="160">
        <f>IF(K126&lt;K127,K127,K126)</f>
        <v>20</v>
      </c>
      <c r="L128" s="157"/>
      <c r="M128" s="157"/>
      <c r="N128" s="158"/>
      <c r="O128" s="246">
        <f>IF(O126&lt;O127,O127,O126)</f>
        <v>0</v>
      </c>
      <c r="P128" s="247"/>
      <c r="Q128" s="247"/>
      <c r="R128" s="248"/>
      <c r="S128" s="246">
        <f>IF(S126&lt;S127,S127,S126)</f>
        <v>0</v>
      </c>
      <c r="T128" s="247"/>
      <c r="U128" s="247"/>
      <c r="V128" s="248"/>
      <c r="W128" s="153">
        <f t="shared" si="9"/>
        <v>50</v>
      </c>
      <c r="X128" s="154"/>
      <c r="Y128" s="154"/>
      <c r="Z128" s="155"/>
      <c r="AA128" s="232" t="s">
        <v>57</v>
      </c>
      <c r="AB128" s="90"/>
      <c r="AC128" s="90"/>
      <c r="AD128" s="90"/>
      <c r="AE128" s="90"/>
      <c r="AF128" s="90"/>
      <c r="AG128" s="91">
        <f>-AG126+AG127-W135</f>
        <v>27.575999999999986</v>
      </c>
      <c r="AH128" s="91"/>
      <c r="AI128" s="85"/>
    </row>
    <row r="129" spans="1:35" ht="13.5" thickBot="1">
      <c r="A129" s="144"/>
      <c r="B129" s="125" t="s">
        <v>41</v>
      </c>
      <c r="C129" s="126"/>
      <c r="D129" s="126"/>
      <c r="E129" s="126"/>
      <c r="F129" s="161"/>
      <c r="G129" s="156">
        <v>16.5</v>
      </c>
      <c r="H129" s="157"/>
      <c r="I129" s="157"/>
      <c r="J129" s="158"/>
      <c r="K129" s="156">
        <v>16.5</v>
      </c>
      <c r="L129" s="157"/>
      <c r="M129" s="157"/>
      <c r="N129" s="158"/>
      <c r="O129" s="246">
        <v>0</v>
      </c>
      <c r="P129" s="247"/>
      <c r="Q129" s="247"/>
      <c r="R129" s="248"/>
      <c r="S129" s="246">
        <v>0</v>
      </c>
      <c r="T129" s="247"/>
      <c r="U129" s="247"/>
      <c r="V129" s="248"/>
      <c r="W129" s="153">
        <f t="shared" si="9"/>
        <v>33</v>
      </c>
      <c r="X129" s="154"/>
      <c r="Y129" s="154"/>
      <c r="Z129" s="155"/>
      <c r="AA129" s="230" t="s">
        <v>59</v>
      </c>
      <c r="AB129" s="231"/>
      <c r="AC129" s="231"/>
      <c r="AD129" s="231"/>
      <c r="AE129" s="231"/>
      <c r="AF129" s="231"/>
      <c r="AG129" s="266">
        <f>AG125+AG128</f>
        <v>27.575999999999986</v>
      </c>
      <c r="AH129" s="267"/>
      <c r="AI129" s="268"/>
    </row>
    <row r="130" spans="1:35" ht="12.75">
      <c r="A130" s="144"/>
      <c r="B130" s="125" t="s">
        <v>42</v>
      </c>
      <c r="C130" s="126"/>
      <c r="D130" s="126"/>
      <c r="E130" s="126"/>
      <c r="F130" s="161"/>
      <c r="G130" s="169">
        <v>16.5</v>
      </c>
      <c r="H130" s="167"/>
      <c r="I130" s="167"/>
      <c r="J130" s="168"/>
      <c r="K130" s="169">
        <v>16.5</v>
      </c>
      <c r="L130" s="167"/>
      <c r="M130" s="167"/>
      <c r="N130" s="168"/>
      <c r="O130" s="239">
        <v>0</v>
      </c>
      <c r="P130" s="240"/>
      <c r="Q130" s="240"/>
      <c r="R130" s="241"/>
      <c r="S130" s="239">
        <v>0</v>
      </c>
      <c r="T130" s="240"/>
      <c r="U130" s="240"/>
      <c r="V130" s="241"/>
      <c r="W130" s="153">
        <f t="shared" si="9"/>
        <v>33</v>
      </c>
      <c r="X130" s="154"/>
      <c r="Y130" s="154"/>
      <c r="Z130" s="155"/>
      <c r="AA130" s="136">
        <f>(W129+W128)/W125*100-$L$2</f>
        <v>0.570054945054945</v>
      </c>
      <c r="AB130" s="136"/>
      <c r="AC130" s="136"/>
      <c r="AD130" s="136"/>
      <c r="AE130" s="136"/>
      <c r="AF130" s="136"/>
      <c r="AG130" s="136"/>
      <c r="AH130" s="136"/>
      <c r="AI130" s="136"/>
    </row>
    <row r="131" spans="1:35" ht="12.75">
      <c r="A131" s="144"/>
      <c r="B131" s="125" t="s">
        <v>43</v>
      </c>
      <c r="C131" s="126"/>
      <c r="D131" s="126"/>
      <c r="E131" s="126"/>
      <c r="F131" s="161"/>
      <c r="G131" s="165">
        <f>G129-G130</f>
        <v>0</v>
      </c>
      <c r="H131" s="163"/>
      <c r="I131" s="163"/>
      <c r="J131" s="164"/>
      <c r="K131" s="162">
        <f>K129-K130</f>
        <v>0</v>
      </c>
      <c r="L131" s="163"/>
      <c r="M131" s="163"/>
      <c r="N131" s="164"/>
      <c r="O131" s="275">
        <f>O129-O130</f>
        <v>0</v>
      </c>
      <c r="P131" s="276"/>
      <c r="Q131" s="276"/>
      <c r="R131" s="277"/>
      <c r="S131" s="275">
        <v>0</v>
      </c>
      <c r="T131" s="276"/>
      <c r="U131" s="276"/>
      <c r="V131" s="277"/>
      <c r="W131" s="153">
        <f t="shared" si="9"/>
        <v>0</v>
      </c>
      <c r="X131" s="154"/>
      <c r="Y131" s="154"/>
      <c r="Z131" s="155"/>
      <c r="AA131" s="132">
        <f>AG124*W124/100</f>
        <v>0</v>
      </c>
      <c r="AB131" s="233"/>
      <c r="AC131" s="233"/>
      <c r="AD131" s="233"/>
      <c r="AE131" s="233"/>
      <c r="AF131" s="233"/>
      <c r="AG131" s="233"/>
      <c r="AH131" s="233"/>
      <c r="AI131" s="233"/>
    </row>
    <row r="132" spans="1:35" ht="12.75">
      <c r="A132" s="144"/>
      <c r="B132" s="125" t="s">
        <v>30</v>
      </c>
      <c r="C132" s="126"/>
      <c r="D132" s="126"/>
      <c r="E132" s="126"/>
      <c r="F132" s="161"/>
      <c r="G132" s="156">
        <f>G125/100*$Q$2+($AT$5+$AG132*$E$5)/2</f>
        <v>64.47999999999999</v>
      </c>
      <c r="H132" s="157"/>
      <c r="I132" s="157"/>
      <c r="J132" s="158"/>
      <c r="K132" s="156">
        <f>K125/100*$Q$2+($AT$5+$AG132*$E$5)/2</f>
        <v>64.47999999999999</v>
      </c>
      <c r="L132" s="157"/>
      <c r="M132" s="157"/>
      <c r="N132" s="158"/>
      <c r="O132" s="246">
        <f>O125/100*$L$2</f>
        <v>0</v>
      </c>
      <c r="P132" s="247"/>
      <c r="Q132" s="247"/>
      <c r="R132" s="248"/>
      <c r="S132" s="246">
        <f>S125/100*$L$2</f>
        <v>0</v>
      </c>
      <c r="T132" s="247"/>
      <c r="U132" s="247"/>
      <c r="V132" s="248"/>
      <c r="W132" s="153">
        <f t="shared" si="9"/>
        <v>128.95999999999998</v>
      </c>
      <c r="X132" s="154"/>
      <c r="Y132" s="154"/>
      <c r="Z132" s="155"/>
      <c r="AA132" s="283" t="s">
        <v>161</v>
      </c>
      <c r="AB132" s="233"/>
      <c r="AC132" s="233"/>
      <c r="AD132" s="233"/>
      <c r="AE132" s="233"/>
      <c r="AF132" s="233"/>
      <c r="AG132" s="233">
        <v>20</v>
      </c>
      <c r="AH132" s="233"/>
      <c r="AI132" s="233"/>
    </row>
    <row r="133" spans="1:26" ht="12.75">
      <c r="A133" s="144"/>
      <c r="B133" s="125" t="s">
        <v>44</v>
      </c>
      <c r="C133" s="126"/>
      <c r="D133" s="126"/>
      <c r="E133" s="126"/>
      <c r="F133" s="161"/>
      <c r="G133" s="246">
        <f>G132-G129-G128</f>
        <v>17.97999999999999</v>
      </c>
      <c r="H133" s="247"/>
      <c r="I133" s="247"/>
      <c r="J133" s="248"/>
      <c r="K133" s="246">
        <f>K132-K129-K128</f>
        <v>27.97999999999999</v>
      </c>
      <c r="L133" s="247"/>
      <c r="M133" s="247"/>
      <c r="N133" s="248"/>
      <c r="O133" s="246">
        <f>O132-O129-O128</f>
        <v>0</v>
      </c>
      <c r="P133" s="247"/>
      <c r="Q133" s="247"/>
      <c r="R133" s="248"/>
      <c r="S133" s="246">
        <f>S132-S129-S128</f>
        <v>0</v>
      </c>
      <c r="T133" s="247"/>
      <c r="U133" s="247"/>
      <c r="V133" s="248"/>
      <c r="W133" s="153">
        <f t="shared" si="9"/>
        <v>45.95999999999998</v>
      </c>
      <c r="X133" s="154"/>
      <c r="Y133" s="154"/>
      <c r="Z133" s="155"/>
    </row>
    <row r="134" spans="1:26" ht="12.75">
      <c r="A134" s="144"/>
      <c r="B134" s="125" t="s">
        <v>45</v>
      </c>
      <c r="C134" s="126"/>
      <c r="D134" s="126"/>
      <c r="E134" s="126"/>
      <c r="F134" s="161"/>
      <c r="G134" s="156">
        <f>G133+G131</f>
        <v>17.97999999999999</v>
      </c>
      <c r="H134" s="157"/>
      <c r="I134" s="157"/>
      <c r="J134" s="158"/>
      <c r="K134" s="160">
        <f>K133+K131</f>
        <v>27.97999999999999</v>
      </c>
      <c r="L134" s="157"/>
      <c r="M134" s="157"/>
      <c r="N134" s="158"/>
      <c r="O134" s="246">
        <f>O133+O131</f>
        <v>0</v>
      </c>
      <c r="P134" s="247"/>
      <c r="Q134" s="247"/>
      <c r="R134" s="248"/>
      <c r="S134" s="246">
        <f>S133+S131</f>
        <v>0</v>
      </c>
      <c r="T134" s="247"/>
      <c r="U134" s="247"/>
      <c r="V134" s="248"/>
      <c r="W134" s="153">
        <f t="shared" si="9"/>
        <v>45.95999999999998</v>
      </c>
      <c r="X134" s="154"/>
      <c r="Y134" s="154"/>
      <c r="Z134" s="155"/>
    </row>
    <row r="135" spans="1:26" ht="12.75">
      <c r="A135" s="144"/>
      <c r="B135" s="194" t="s">
        <v>26</v>
      </c>
      <c r="C135" s="98"/>
      <c r="D135" s="98"/>
      <c r="E135" s="98"/>
      <c r="F135" s="195"/>
      <c r="G135" s="196">
        <f>$AG127/100*$AL$3</f>
        <v>9.191999999999997</v>
      </c>
      <c r="H135" s="197"/>
      <c r="I135" s="197"/>
      <c r="J135" s="198"/>
      <c r="K135" s="196">
        <f>$AG127/100*$AL$4</f>
        <v>9.191999999999997</v>
      </c>
      <c r="L135" s="197"/>
      <c r="M135" s="197"/>
      <c r="N135" s="198"/>
      <c r="O135" s="137">
        <v>0</v>
      </c>
      <c r="P135" s="138"/>
      <c r="Q135" s="138"/>
      <c r="R135" s="139"/>
      <c r="S135" s="137">
        <v>0</v>
      </c>
      <c r="T135" s="138"/>
      <c r="U135" s="138"/>
      <c r="V135" s="139"/>
      <c r="W135" s="153">
        <f t="shared" si="9"/>
        <v>18.383999999999993</v>
      </c>
      <c r="X135" s="154"/>
      <c r="Y135" s="154"/>
      <c r="Z135" s="155"/>
    </row>
    <row r="136" spans="1:26" ht="13.5" thickBot="1">
      <c r="A136" s="144"/>
      <c r="B136" s="191" t="s">
        <v>28</v>
      </c>
      <c r="C136" s="192"/>
      <c r="D136" s="192"/>
      <c r="E136" s="192"/>
      <c r="F136" s="193"/>
      <c r="G136" s="149">
        <f>IF(G135&lt;0,G128,G128+G135)</f>
        <v>39.19199999999999</v>
      </c>
      <c r="H136" s="147"/>
      <c r="I136" s="147"/>
      <c r="J136" s="148"/>
      <c r="K136" s="146">
        <f>IF(K135&lt;0,K128,K128+K135)</f>
        <v>29.191999999999997</v>
      </c>
      <c r="L136" s="147"/>
      <c r="M136" s="147"/>
      <c r="N136" s="148"/>
      <c r="O136" s="255">
        <f>IF(O135&lt;0,O128,O128+O135)</f>
        <v>0</v>
      </c>
      <c r="P136" s="256"/>
      <c r="Q136" s="256"/>
      <c r="R136" s="257"/>
      <c r="S136" s="255">
        <f>IF(S135&lt;0,S128,S128+S135)</f>
        <v>0</v>
      </c>
      <c r="T136" s="256"/>
      <c r="U136" s="256"/>
      <c r="V136" s="257"/>
      <c r="W136" s="150">
        <f t="shared" si="9"/>
        <v>68.38399999999999</v>
      </c>
      <c r="X136" s="151"/>
      <c r="Y136" s="151"/>
      <c r="Z136" s="152"/>
    </row>
    <row r="137" spans="1:35" ht="12.75" customHeight="1">
      <c r="A137" s="143" t="s">
        <v>71</v>
      </c>
      <c r="B137" s="93" t="s">
        <v>23</v>
      </c>
      <c r="C137" s="94"/>
      <c r="D137" s="94"/>
      <c r="E137" s="94"/>
      <c r="F137" s="199"/>
      <c r="G137" s="185">
        <v>7280</v>
      </c>
      <c r="H137" s="183"/>
      <c r="I137" s="183"/>
      <c r="J137" s="184"/>
      <c r="K137" s="182">
        <v>7280</v>
      </c>
      <c r="L137" s="183"/>
      <c r="M137" s="183"/>
      <c r="N137" s="184"/>
      <c r="O137" s="242">
        <v>0</v>
      </c>
      <c r="P137" s="243"/>
      <c r="Q137" s="243"/>
      <c r="R137" s="244"/>
      <c r="S137" s="242">
        <v>0</v>
      </c>
      <c r="T137" s="243"/>
      <c r="U137" s="243"/>
      <c r="V137" s="244"/>
      <c r="W137" s="170">
        <f>SUM(G137:V137)</f>
        <v>14560</v>
      </c>
      <c r="X137" s="171"/>
      <c r="Y137" s="171"/>
      <c r="Z137" s="172"/>
      <c r="AA137" s="236" t="s">
        <v>53</v>
      </c>
      <c r="AB137" s="94"/>
      <c r="AC137" s="94"/>
      <c r="AD137" s="94"/>
      <c r="AE137" s="94"/>
      <c r="AF137" s="94"/>
      <c r="AG137" s="269">
        <v>0</v>
      </c>
      <c r="AH137" s="270"/>
      <c r="AI137" s="271"/>
    </row>
    <row r="138" spans="1:35" ht="12.75">
      <c r="A138" s="144"/>
      <c r="B138" s="125" t="s">
        <v>24</v>
      </c>
      <c r="C138" s="126"/>
      <c r="D138" s="126"/>
      <c r="E138" s="126"/>
      <c r="F138" s="161"/>
      <c r="G138" s="239">
        <v>7280</v>
      </c>
      <c r="H138" s="240"/>
      <c r="I138" s="240"/>
      <c r="J138" s="241"/>
      <c r="K138" s="166">
        <v>7280</v>
      </c>
      <c r="L138" s="167"/>
      <c r="M138" s="167"/>
      <c r="N138" s="168"/>
      <c r="O138" s="239">
        <v>0</v>
      </c>
      <c r="P138" s="240"/>
      <c r="Q138" s="240"/>
      <c r="R138" s="241"/>
      <c r="S138" s="239">
        <v>0</v>
      </c>
      <c r="T138" s="240"/>
      <c r="U138" s="240"/>
      <c r="V138" s="241"/>
      <c r="W138" s="153">
        <f>G138+K138+O138+S138</f>
        <v>14560</v>
      </c>
      <c r="X138" s="154"/>
      <c r="Y138" s="154"/>
      <c r="Z138" s="155"/>
      <c r="AA138" s="205" t="s">
        <v>54</v>
      </c>
      <c r="AB138" s="126"/>
      <c r="AC138" s="126"/>
      <c r="AD138" s="126"/>
      <c r="AE138" s="126"/>
      <c r="AF138" s="126"/>
      <c r="AG138" s="278">
        <v>0</v>
      </c>
      <c r="AH138" s="278"/>
      <c r="AI138" s="279"/>
    </row>
    <row r="139" spans="1:35" ht="12.75">
      <c r="A139" s="144"/>
      <c r="B139" s="125" t="s">
        <v>29</v>
      </c>
      <c r="C139" s="126"/>
      <c r="D139" s="126"/>
      <c r="E139" s="126"/>
      <c r="F139" s="161"/>
      <c r="G139" s="156">
        <v>30</v>
      </c>
      <c r="H139" s="157"/>
      <c r="I139" s="157"/>
      <c r="J139" s="158"/>
      <c r="K139" s="156">
        <v>20</v>
      </c>
      <c r="L139" s="157"/>
      <c r="M139" s="157"/>
      <c r="N139" s="158"/>
      <c r="O139" s="156">
        <f>O138*0.005</f>
        <v>0</v>
      </c>
      <c r="P139" s="157"/>
      <c r="Q139" s="157"/>
      <c r="R139" s="158"/>
      <c r="S139" s="156">
        <f>S138*0.005</f>
        <v>0</v>
      </c>
      <c r="T139" s="157"/>
      <c r="U139" s="157"/>
      <c r="V139" s="158"/>
      <c r="W139" s="153">
        <f aca="true" t="shared" si="10" ref="W139:W149">G139+K139+O139+S139</f>
        <v>50</v>
      </c>
      <c r="X139" s="154"/>
      <c r="Y139" s="154"/>
      <c r="Z139" s="155"/>
      <c r="AA139" s="205" t="s">
        <v>55</v>
      </c>
      <c r="AB139" s="126"/>
      <c r="AC139" s="126"/>
      <c r="AD139" s="126"/>
      <c r="AE139" s="126"/>
      <c r="AF139" s="126"/>
      <c r="AG139" s="134">
        <f>AG138</f>
        <v>0</v>
      </c>
      <c r="AH139" s="134"/>
      <c r="AI139" s="135"/>
    </row>
    <row r="140" spans="1:35" ht="12.75">
      <c r="A140" s="144"/>
      <c r="B140" s="125" t="s">
        <v>10</v>
      </c>
      <c r="C140" s="126"/>
      <c r="D140" s="126"/>
      <c r="E140" s="126"/>
      <c r="F140" s="161"/>
      <c r="G140" s="166">
        <v>30</v>
      </c>
      <c r="H140" s="167"/>
      <c r="I140" s="167"/>
      <c r="J140" s="168"/>
      <c r="K140" s="166">
        <v>20</v>
      </c>
      <c r="L140" s="167"/>
      <c r="M140" s="167"/>
      <c r="N140" s="168"/>
      <c r="O140" s="239">
        <v>0</v>
      </c>
      <c r="P140" s="240"/>
      <c r="Q140" s="240"/>
      <c r="R140" s="241"/>
      <c r="S140" s="239">
        <v>0</v>
      </c>
      <c r="T140" s="240"/>
      <c r="U140" s="240"/>
      <c r="V140" s="241"/>
      <c r="W140" s="153">
        <f t="shared" si="10"/>
        <v>50</v>
      </c>
      <c r="X140" s="154"/>
      <c r="Y140" s="154"/>
      <c r="Z140" s="155"/>
      <c r="AA140" s="205" t="s">
        <v>56</v>
      </c>
      <c r="AB140" s="126"/>
      <c r="AC140" s="126"/>
      <c r="AD140" s="126"/>
      <c r="AE140" s="126"/>
      <c r="AF140" s="126"/>
      <c r="AG140" s="134">
        <f>W147+AG139</f>
        <v>45.95999999999998</v>
      </c>
      <c r="AH140" s="134"/>
      <c r="AI140" s="135"/>
    </row>
    <row r="141" spans="1:35" ht="13.5" thickBot="1">
      <c r="A141" s="144"/>
      <c r="B141" s="125" t="s">
        <v>58</v>
      </c>
      <c r="C141" s="126"/>
      <c r="D141" s="126"/>
      <c r="E141" s="126"/>
      <c r="F141" s="161"/>
      <c r="G141" s="160">
        <f>IF(G139&lt;G140,G140,G139)</f>
        <v>30</v>
      </c>
      <c r="H141" s="157"/>
      <c r="I141" s="157"/>
      <c r="J141" s="158"/>
      <c r="K141" s="160">
        <f>IF(K139&lt;K140,K140,K139)</f>
        <v>20</v>
      </c>
      <c r="L141" s="157"/>
      <c r="M141" s="157"/>
      <c r="N141" s="158"/>
      <c r="O141" s="246">
        <f>IF(O139&lt;O140,O140,O139)</f>
        <v>0</v>
      </c>
      <c r="P141" s="247"/>
      <c r="Q141" s="247"/>
      <c r="R141" s="248"/>
      <c r="S141" s="246">
        <f>IF(S139&lt;S140,S140,S139)</f>
        <v>0</v>
      </c>
      <c r="T141" s="247"/>
      <c r="U141" s="247"/>
      <c r="V141" s="248"/>
      <c r="W141" s="153">
        <f t="shared" si="10"/>
        <v>50</v>
      </c>
      <c r="X141" s="154"/>
      <c r="Y141" s="154"/>
      <c r="Z141" s="155"/>
      <c r="AA141" s="232" t="s">
        <v>57</v>
      </c>
      <c r="AB141" s="90"/>
      <c r="AC141" s="90"/>
      <c r="AD141" s="90"/>
      <c r="AE141" s="90"/>
      <c r="AF141" s="90"/>
      <c r="AG141" s="91">
        <f>-AG139+AG140-W148</f>
        <v>27.575999999999986</v>
      </c>
      <c r="AH141" s="91"/>
      <c r="AI141" s="85"/>
    </row>
    <row r="142" spans="1:35" ht="13.5" thickBot="1">
      <c r="A142" s="144"/>
      <c r="B142" s="125" t="s">
        <v>41</v>
      </c>
      <c r="C142" s="126"/>
      <c r="D142" s="126"/>
      <c r="E142" s="126"/>
      <c r="F142" s="161"/>
      <c r="G142" s="156">
        <v>16.5</v>
      </c>
      <c r="H142" s="157"/>
      <c r="I142" s="157"/>
      <c r="J142" s="158"/>
      <c r="K142" s="156">
        <v>16.5</v>
      </c>
      <c r="L142" s="157"/>
      <c r="M142" s="157"/>
      <c r="N142" s="158"/>
      <c r="O142" s="246">
        <v>0</v>
      </c>
      <c r="P142" s="247"/>
      <c r="Q142" s="247"/>
      <c r="R142" s="248"/>
      <c r="S142" s="246">
        <v>0</v>
      </c>
      <c r="T142" s="247"/>
      <c r="U142" s="247"/>
      <c r="V142" s="248"/>
      <c r="W142" s="153">
        <f t="shared" si="10"/>
        <v>33</v>
      </c>
      <c r="X142" s="154"/>
      <c r="Y142" s="154"/>
      <c r="Z142" s="155"/>
      <c r="AA142" s="230" t="s">
        <v>59</v>
      </c>
      <c r="AB142" s="231"/>
      <c r="AC142" s="231"/>
      <c r="AD142" s="231"/>
      <c r="AE142" s="231"/>
      <c r="AF142" s="231"/>
      <c r="AG142" s="266">
        <f>AG138+AG141</f>
        <v>27.575999999999986</v>
      </c>
      <c r="AH142" s="267"/>
      <c r="AI142" s="268"/>
    </row>
    <row r="143" spans="1:35" ht="12.75">
      <c r="A143" s="144"/>
      <c r="B143" s="125" t="s">
        <v>42</v>
      </c>
      <c r="C143" s="126"/>
      <c r="D143" s="126"/>
      <c r="E143" s="126"/>
      <c r="F143" s="161"/>
      <c r="G143" s="169">
        <v>16.5</v>
      </c>
      <c r="H143" s="167"/>
      <c r="I143" s="167"/>
      <c r="J143" s="168"/>
      <c r="K143" s="169">
        <v>16.5</v>
      </c>
      <c r="L143" s="167"/>
      <c r="M143" s="167"/>
      <c r="N143" s="168"/>
      <c r="O143" s="239">
        <v>0</v>
      </c>
      <c r="P143" s="240"/>
      <c r="Q143" s="240"/>
      <c r="R143" s="241"/>
      <c r="S143" s="239">
        <v>0</v>
      </c>
      <c r="T143" s="240"/>
      <c r="U143" s="240"/>
      <c r="V143" s="241"/>
      <c r="W143" s="153">
        <f t="shared" si="10"/>
        <v>33</v>
      </c>
      <c r="X143" s="154"/>
      <c r="Y143" s="154"/>
      <c r="Z143" s="155"/>
      <c r="AA143" s="136">
        <f>(W142+W141)/W138*100-$L$2</f>
        <v>0.570054945054945</v>
      </c>
      <c r="AB143" s="136"/>
      <c r="AC143" s="136"/>
      <c r="AD143" s="136"/>
      <c r="AE143" s="136"/>
      <c r="AF143" s="136"/>
      <c r="AG143" s="136"/>
      <c r="AH143" s="136"/>
      <c r="AI143" s="136"/>
    </row>
    <row r="144" spans="1:35" ht="12.75">
      <c r="A144" s="144"/>
      <c r="B144" s="125" t="s">
        <v>43</v>
      </c>
      <c r="C144" s="126"/>
      <c r="D144" s="126"/>
      <c r="E144" s="126"/>
      <c r="F144" s="161"/>
      <c r="G144" s="162">
        <f>G142-G143</f>
        <v>0</v>
      </c>
      <c r="H144" s="163"/>
      <c r="I144" s="163"/>
      <c r="J144" s="164"/>
      <c r="K144" s="162">
        <f>K142-K143</f>
        <v>0</v>
      </c>
      <c r="L144" s="163"/>
      <c r="M144" s="163"/>
      <c r="N144" s="164"/>
      <c r="O144" s="275">
        <f>O142-O143</f>
        <v>0</v>
      </c>
      <c r="P144" s="276"/>
      <c r="Q144" s="276"/>
      <c r="R144" s="277"/>
      <c r="S144" s="275">
        <v>0</v>
      </c>
      <c r="T144" s="276"/>
      <c r="U144" s="276"/>
      <c r="V144" s="277"/>
      <c r="W144" s="153">
        <f t="shared" si="10"/>
        <v>0</v>
      </c>
      <c r="X144" s="154"/>
      <c r="Y144" s="154"/>
      <c r="Z144" s="155"/>
      <c r="AA144" s="132">
        <f>AG137*W137/100</f>
        <v>0</v>
      </c>
      <c r="AB144" s="233"/>
      <c r="AC144" s="233"/>
      <c r="AD144" s="233"/>
      <c r="AE144" s="233"/>
      <c r="AF144" s="233"/>
      <c r="AG144" s="233"/>
      <c r="AH144" s="233"/>
      <c r="AI144" s="233"/>
    </row>
    <row r="145" spans="1:35" ht="12.75">
      <c r="A145" s="144"/>
      <c r="B145" s="125" t="s">
        <v>30</v>
      </c>
      <c r="C145" s="126"/>
      <c r="D145" s="126"/>
      <c r="E145" s="126"/>
      <c r="F145" s="161"/>
      <c r="G145" s="246">
        <f>G138/100*$Q$2+($AT$5+$AG145*$E$5)/2</f>
        <v>64.47999999999999</v>
      </c>
      <c r="H145" s="247"/>
      <c r="I145" s="247"/>
      <c r="J145" s="248"/>
      <c r="K145" s="246">
        <f>K138/100*$Q$2+($AT$5+$AG145*$E$5)/2</f>
        <v>64.47999999999999</v>
      </c>
      <c r="L145" s="247"/>
      <c r="M145" s="247"/>
      <c r="N145" s="248"/>
      <c r="O145" s="246">
        <f>O138/100*$L$2</f>
        <v>0</v>
      </c>
      <c r="P145" s="247"/>
      <c r="Q145" s="247"/>
      <c r="R145" s="248"/>
      <c r="S145" s="246">
        <f>S138/100*$L$2</f>
        <v>0</v>
      </c>
      <c r="T145" s="247"/>
      <c r="U145" s="247"/>
      <c r="V145" s="248"/>
      <c r="W145" s="153">
        <f t="shared" si="10"/>
        <v>128.95999999999998</v>
      </c>
      <c r="X145" s="154"/>
      <c r="Y145" s="154"/>
      <c r="Z145" s="155"/>
      <c r="AA145" s="283" t="s">
        <v>161</v>
      </c>
      <c r="AB145" s="233"/>
      <c r="AC145" s="233"/>
      <c r="AD145" s="233"/>
      <c r="AE145" s="233"/>
      <c r="AF145" s="233"/>
      <c r="AG145" s="233">
        <v>20</v>
      </c>
      <c r="AH145" s="233"/>
      <c r="AI145" s="233"/>
    </row>
    <row r="146" spans="1:26" ht="12.75">
      <c r="A146" s="144"/>
      <c r="B146" s="125" t="s">
        <v>44</v>
      </c>
      <c r="C146" s="126"/>
      <c r="D146" s="126"/>
      <c r="E146" s="126"/>
      <c r="F146" s="161"/>
      <c r="G146" s="246">
        <f>G145-G142-G141</f>
        <v>17.97999999999999</v>
      </c>
      <c r="H146" s="247"/>
      <c r="I146" s="247"/>
      <c r="J146" s="248"/>
      <c r="K146" s="246">
        <f>K145-K142-K141</f>
        <v>27.97999999999999</v>
      </c>
      <c r="L146" s="247"/>
      <c r="M146" s="247"/>
      <c r="N146" s="248"/>
      <c r="O146" s="246">
        <f>O145-O142-O141</f>
        <v>0</v>
      </c>
      <c r="P146" s="247"/>
      <c r="Q146" s="247"/>
      <c r="R146" s="248"/>
      <c r="S146" s="246">
        <f>S145-S142-S141</f>
        <v>0</v>
      </c>
      <c r="T146" s="247"/>
      <c r="U146" s="247"/>
      <c r="V146" s="248"/>
      <c r="W146" s="153">
        <f t="shared" si="10"/>
        <v>45.95999999999998</v>
      </c>
      <c r="X146" s="154"/>
      <c r="Y146" s="154"/>
      <c r="Z146" s="155"/>
    </row>
    <row r="147" spans="1:26" ht="12.75">
      <c r="A147" s="144"/>
      <c r="B147" s="125" t="s">
        <v>45</v>
      </c>
      <c r="C147" s="126"/>
      <c r="D147" s="126"/>
      <c r="E147" s="126"/>
      <c r="F147" s="161"/>
      <c r="G147" s="160">
        <f>G146+G144</f>
        <v>17.97999999999999</v>
      </c>
      <c r="H147" s="157"/>
      <c r="I147" s="157"/>
      <c r="J147" s="158"/>
      <c r="K147" s="160">
        <f>K146+K144</f>
        <v>27.97999999999999</v>
      </c>
      <c r="L147" s="157"/>
      <c r="M147" s="157"/>
      <c r="N147" s="158"/>
      <c r="O147" s="246">
        <f>O146+O144</f>
        <v>0</v>
      </c>
      <c r="P147" s="247"/>
      <c r="Q147" s="247"/>
      <c r="R147" s="248"/>
      <c r="S147" s="246">
        <f>S146+S144</f>
        <v>0</v>
      </c>
      <c r="T147" s="247"/>
      <c r="U147" s="247"/>
      <c r="V147" s="248"/>
      <c r="W147" s="153">
        <f t="shared" si="10"/>
        <v>45.95999999999998</v>
      </c>
      <c r="X147" s="154"/>
      <c r="Y147" s="154"/>
      <c r="Z147" s="155"/>
    </row>
    <row r="148" spans="1:26" ht="12.75">
      <c r="A148" s="144"/>
      <c r="B148" s="194" t="s">
        <v>26</v>
      </c>
      <c r="C148" s="98"/>
      <c r="D148" s="98"/>
      <c r="E148" s="98"/>
      <c r="F148" s="195"/>
      <c r="G148" s="196">
        <f>$AG140/100*$AL$4</f>
        <v>9.191999999999997</v>
      </c>
      <c r="H148" s="197"/>
      <c r="I148" s="197"/>
      <c r="J148" s="198"/>
      <c r="K148" s="196">
        <f>$AG140/100*$AL$4</f>
        <v>9.191999999999997</v>
      </c>
      <c r="L148" s="197"/>
      <c r="M148" s="197"/>
      <c r="N148" s="198"/>
      <c r="O148" s="137">
        <v>0</v>
      </c>
      <c r="P148" s="138"/>
      <c r="Q148" s="138"/>
      <c r="R148" s="139"/>
      <c r="S148" s="137">
        <v>0</v>
      </c>
      <c r="T148" s="138"/>
      <c r="U148" s="138"/>
      <c r="V148" s="139"/>
      <c r="W148" s="153">
        <f t="shared" si="10"/>
        <v>18.383999999999993</v>
      </c>
      <c r="X148" s="154"/>
      <c r="Y148" s="154"/>
      <c r="Z148" s="155"/>
    </row>
    <row r="149" spans="1:26" ht="13.5" thickBot="1">
      <c r="A149" s="145"/>
      <c r="B149" s="191" t="s">
        <v>28</v>
      </c>
      <c r="C149" s="192"/>
      <c r="D149" s="192"/>
      <c r="E149" s="192"/>
      <c r="F149" s="193"/>
      <c r="G149" s="146">
        <f>IF(G148&lt;0,G141,G141+G148)</f>
        <v>39.19199999999999</v>
      </c>
      <c r="H149" s="147"/>
      <c r="I149" s="147"/>
      <c r="J149" s="148"/>
      <c r="K149" s="146">
        <f>IF(K148&lt;0,K141,K141+K148)</f>
        <v>29.191999999999997</v>
      </c>
      <c r="L149" s="147"/>
      <c r="M149" s="147"/>
      <c r="N149" s="148"/>
      <c r="O149" s="255">
        <f>IF(O148&lt;0,O141,O141+O148)</f>
        <v>0</v>
      </c>
      <c r="P149" s="256"/>
      <c r="Q149" s="256"/>
      <c r="R149" s="257"/>
      <c r="S149" s="255">
        <f>IF(S148&lt;0,S141,S141+S148)</f>
        <v>0</v>
      </c>
      <c r="T149" s="256"/>
      <c r="U149" s="256"/>
      <c r="V149" s="257"/>
      <c r="W149" s="150">
        <f t="shared" si="10"/>
        <v>68.38399999999999</v>
      </c>
      <c r="X149" s="151"/>
      <c r="Y149" s="151"/>
      <c r="Z149" s="152"/>
    </row>
  </sheetData>
  <mergeCells count="1103">
    <mergeCell ref="AA145:AF145"/>
    <mergeCell ref="AG145:AI145"/>
    <mergeCell ref="AA119:AF119"/>
    <mergeCell ref="AG119:AI119"/>
    <mergeCell ref="AA132:AF132"/>
    <mergeCell ref="AG132:AI132"/>
    <mergeCell ref="AA124:AF124"/>
    <mergeCell ref="AG124:AI124"/>
    <mergeCell ref="AG127:AI127"/>
    <mergeCell ref="AA137:AF137"/>
    <mergeCell ref="AA93:AF93"/>
    <mergeCell ref="AG93:AI93"/>
    <mergeCell ref="AA106:AF106"/>
    <mergeCell ref="AG106:AI106"/>
    <mergeCell ref="AA98:AF98"/>
    <mergeCell ref="AG98:AI98"/>
    <mergeCell ref="AG101:AI101"/>
    <mergeCell ref="AA67:AF67"/>
    <mergeCell ref="AG67:AI67"/>
    <mergeCell ref="AA80:AF80"/>
    <mergeCell ref="AG80:AI80"/>
    <mergeCell ref="AA72:AF72"/>
    <mergeCell ref="AG72:AI72"/>
    <mergeCell ref="AG75:AI75"/>
    <mergeCell ref="AA41:AF41"/>
    <mergeCell ref="AG41:AI41"/>
    <mergeCell ref="AA54:AF54"/>
    <mergeCell ref="AG54:AI54"/>
    <mergeCell ref="AA46:AF46"/>
    <mergeCell ref="AG46:AI46"/>
    <mergeCell ref="AG49:AI49"/>
    <mergeCell ref="AT5:AV5"/>
    <mergeCell ref="AA15:AF15"/>
    <mergeCell ref="AG15:AI15"/>
    <mergeCell ref="AA28:AF28"/>
    <mergeCell ref="AG28:AI28"/>
    <mergeCell ref="Y5:AA5"/>
    <mergeCell ref="AG8:AI8"/>
    <mergeCell ref="AA9:AF9"/>
    <mergeCell ref="AA20:AF20"/>
    <mergeCell ref="AG20:AI20"/>
    <mergeCell ref="A1:K1"/>
    <mergeCell ref="L1:M1"/>
    <mergeCell ref="N1:P1"/>
    <mergeCell ref="Q1:S1"/>
    <mergeCell ref="T1:V1"/>
    <mergeCell ref="W1:AG1"/>
    <mergeCell ref="AH1:AW1"/>
    <mergeCell ref="AX1:BA1"/>
    <mergeCell ref="A2:K2"/>
    <mergeCell ref="L2:M2"/>
    <mergeCell ref="N2:P2"/>
    <mergeCell ref="Q2:S2"/>
    <mergeCell ref="T2:V2"/>
    <mergeCell ref="W2:AG4"/>
    <mergeCell ref="AH2:AK2"/>
    <mergeCell ref="AL2:AO2"/>
    <mergeCell ref="AP2:AS2"/>
    <mergeCell ref="AT2:AW2"/>
    <mergeCell ref="AX2:BA4"/>
    <mergeCell ref="A3:K3"/>
    <mergeCell ref="L3:M3"/>
    <mergeCell ref="N3:P3"/>
    <mergeCell ref="Q3:S3"/>
    <mergeCell ref="T3:V3"/>
    <mergeCell ref="AH3:AK3"/>
    <mergeCell ref="AL3:AO3"/>
    <mergeCell ref="AP3:AS3"/>
    <mergeCell ref="AT3:AW3"/>
    <mergeCell ref="L4:M4"/>
    <mergeCell ref="N4:P4"/>
    <mergeCell ref="Q4:S4"/>
    <mergeCell ref="T4:V4"/>
    <mergeCell ref="AH4:AK4"/>
    <mergeCell ref="AL4:AO4"/>
    <mergeCell ref="AP4:AS4"/>
    <mergeCell ref="AT4:AW4"/>
    <mergeCell ref="B5:C5"/>
    <mergeCell ref="E5:F5"/>
    <mergeCell ref="G5:I5"/>
    <mergeCell ref="J5:L5"/>
    <mergeCell ref="AB5:AD5"/>
    <mergeCell ref="AE5:AG5"/>
    <mergeCell ref="A6:F6"/>
    <mergeCell ref="G6:J6"/>
    <mergeCell ref="K6:N6"/>
    <mergeCell ref="O6:R6"/>
    <mergeCell ref="M5:O5"/>
    <mergeCell ref="P5:R5"/>
    <mergeCell ref="S5:U5"/>
    <mergeCell ref="V5:X5"/>
    <mergeCell ref="AO5:AR5"/>
    <mergeCell ref="AH5:AJ5"/>
    <mergeCell ref="AK5:AM5"/>
    <mergeCell ref="S7:V7"/>
    <mergeCell ref="W7:Z7"/>
    <mergeCell ref="AA7:AF7"/>
    <mergeCell ref="AG7:AI7"/>
    <mergeCell ref="S6:V6"/>
    <mergeCell ref="W6:Z6"/>
    <mergeCell ref="AA6:AI6"/>
    <mergeCell ref="K8:N8"/>
    <mergeCell ref="B11:F11"/>
    <mergeCell ref="G11:J11"/>
    <mergeCell ref="K11:N11"/>
    <mergeCell ref="B10:F10"/>
    <mergeCell ref="G10:J10"/>
    <mergeCell ref="K10:N10"/>
    <mergeCell ref="AA8:AF8"/>
    <mergeCell ref="A7:A19"/>
    <mergeCell ref="B7:F7"/>
    <mergeCell ref="G7:J7"/>
    <mergeCell ref="K7:N7"/>
    <mergeCell ref="B9:F9"/>
    <mergeCell ref="G9:J9"/>
    <mergeCell ref="K9:N9"/>
    <mergeCell ref="B8:F8"/>
    <mergeCell ref="G8:J8"/>
    <mergeCell ref="O7:R7"/>
    <mergeCell ref="O9:R9"/>
    <mergeCell ref="S9:V9"/>
    <mergeCell ref="W9:Z9"/>
    <mergeCell ref="O8:R8"/>
    <mergeCell ref="S8:V8"/>
    <mergeCell ref="W8:Z8"/>
    <mergeCell ref="O10:R10"/>
    <mergeCell ref="S11:V11"/>
    <mergeCell ref="W11:Z11"/>
    <mergeCell ref="AA11:AF11"/>
    <mergeCell ref="O11:R11"/>
    <mergeCell ref="AG9:AI9"/>
    <mergeCell ref="S10:V10"/>
    <mergeCell ref="W10:Z10"/>
    <mergeCell ref="AA10:AF10"/>
    <mergeCell ref="AG10:AI10"/>
    <mergeCell ref="AG11:AI11"/>
    <mergeCell ref="S12:V12"/>
    <mergeCell ref="W12:Z12"/>
    <mergeCell ref="AA12:AF12"/>
    <mergeCell ref="AG12:AI12"/>
    <mergeCell ref="B13:F13"/>
    <mergeCell ref="G13:J13"/>
    <mergeCell ref="K13:N13"/>
    <mergeCell ref="O13:R13"/>
    <mergeCell ref="B12:F12"/>
    <mergeCell ref="G12:J12"/>
    <mergeCell ref="K12:N12"/>
    <mergeCell ref="O12:R12"/>
    <mergeCell ref="S13:V13"/>
    <mergeCell ref="W13:Z13"/>
    <mergeCell ref="AA13:AI13"/>
    <mergeCell ref="B14:F14"/>
    <mergeCell ref="G14:J14"/>
    <mergeCell ref="K14:N14"/>
    <mergeCell ref="O14:R14"/>
    <mergeCell ref="S14:V14"/>
    <mergeCell ref="W14:Z14"/>
    <mergeCell ref="AA14:AI14"/>
    <mergeCell ref="B15:F15"/>
    <mergeCell ref="G15:J15"/>
    <mergeCell ref="K15:N15"/>
    <mergeCell ref="O15:R15"/>
    <mergeCell ref="S17:V17"/>
    <mergeCell ref="W17:Z17"/>
    <mergeCell ref="B16:F16"/>
    <mergeCell ref="G16:J16"/>
    <mergeCell ref="K16:N16"/>
    <mergeCell ref="O16:R16"/>
    <mergeCell ref="S15:V15"/>
    <mergeCell ref="W15:Z15"/>
    <mergeCell ref="S16:V16"/>
    <mergeCell ref="W16:Z16"/>
    <mergeCell ref="S18:V18"/>
    <mergeCell ref="W18:Z18"/>
    <mergeCell ref="B17:F17"/>
    <mergeCell ref="G17:J17"/>
    <mergeCell ref="B18:F18"/>
    <mergeCell ref="G18:J18"/>
    <mergeCell ref="K18:N18"/>
    <mergeCell ref="O18:R18"/>
    <mergeCell ref="K17:N17"/>
    <mergeCell ref="O17:R17"/>
    <mergeCell ref="B19:F19"/>
    <mergeCell ref="G19:J19"/>
    <mergeCell ref="K19:N19"/>
    <mergeCell ref="O19:R19"/>
    <mergeCell ref="S19:V19"/>
    <mergeCell ref="W19:Z19"/>
    <mergeCell ref="A20:A32"/>
    <mergeCell ref="B20:F20"/>
    <mergeCell ref="G20:J20"/>
    <mergeCell ref="K20:N20"/>
    <mergeCell ref="O20:R20"/>
    <mergeCell ref="S20:V20"/>
    <mergeCell ref="W20:Z20"/>
    <mergeCell ref="B22:F22"/>
    <mergeCell ref="B21:F21"/>
    <mergeCell ref="G21:J21"/>
    <mergeCell ref="K21:N21"/>
    <mergeCell ref="O21:R21"/>
    <mergeCell ref="S21:V21"/>
    <mergeCell ref="W21:Z21"/>
    <mergeCell ref="AA21:AF21"/>
    <mergeCell ref="AG21:AI21"/>
    <mergeCell ref="G22:J22"/>
    <mergeCell ref="K22:N22"/>
    <mergeCell ref="O22:R22"/>
    <mergeCell ref="S22:V22"/>
    <mergeCell ref="W22:Z22"/>
    <mergeCell ref="AA22:AF22"/>
    <mergeCell ref="AG22:AI22"/>
    <mergeCell ref="B23:F23"/>
    <mergeCell ref="G23:J23"/>
    <mergeCell ref="K23:N23"/>
    <mergeCell ref="O23:R23"/>
    <mergeCell ref="S23:V23"/>
    <mergeCell ref="W23:Z23"/>
    <mergeCell ref="AA23:AF23"/>
    <mergeCell ref="AG23:AI23"/>
    <mergeCell ref="B24:F24"/>
    <mergeCell ref="G24:J24"/>
    <mergeCell ref="K24:N24"/>
    <mergeCell ref="O24:R24"/>
    <mergeCell ref="S24:V24"/>
    <mergeCell ref="W24:Z24"/>
    <mergeCell ref="AA24:AF24"/>
    <mergeCell ref="AG24:AI24"/>
    <mergeCell ref="B25:F25"/>
    <mergeCell ref="G25:J25"/>
    <mergeCell ref="K25:N25"/>
    <mergeCell ref="O25:R25"/>
    <mergeCell ref="S25:V25"/>
    <mergeCell ref="W25:Z25"/>
    <mergeCell ref="AA25:AF25"/>
    <mergeCell ref="AG25:AI25"/>
    <mergeCell ref="B26:F26"/>
    <mergeCell ref="G26:J26"/>
    <mergeCell ref="K26:N26"/>
    <mergeCell ref="O26:R26"/>
    <mergeCell ref="S26:V26"/>
    <mergeCell ref="W26:Z26"/>
    <mergeCell ref="AA26:AI26"/>
    <mergeCell ref="B27:F27"/>
    <mergeCell ref="G27:J27"/>
    <mergeCell ref="K27:N27"/>
    <mergeCell ref="O27:R27"/>
    <mergeCell ref="S27:V27"/>
    <mergeCell ref="W27:Z27"/>
    <mergeCell ref="AA27:AI27"/>
    <mergeCell ref="B28:F28"/>
    <mergeCell ref="G28:J28"/>
    <mergeCell ref="K28:N28"/>
    <mergeCell ref="O28:R28"/>
    <mergeCell ref="S30:V30"/>
    <mergeCell ref="W30:Z30"/>
    <mergeCell ref="B29:F29"/>
    <mergeCell ref="G29:J29"/>
    <mergeCell ref="K29:N29"/>
    <mergeCell ref="O29:R29"/>
    <mergeCell ref="S28:V28"/>
    <mergeCell ref="W28:Z28"/>
    <mergeCell ref="S29:V29"/>
    <mergeCell ref="W29:Z29"/>
    <mergeCell ref="S31:V31"/>
    <mergeCell ref="W31:Z31"/>
    <mergeCell ref="B30:F30"/>
    <mergeCell ref="G30:J30"/>
    <mergeCell ref="B31:F31"/>
    <mergeCell ref="G31:J31"/>
    <mergeCell ref="K31:N31"/>
    <mergeCell ref="O31:R31"/>
    <mergeCell ref="K30:N30"/>
    <mergeCell ref="O30:R30"/>
    <mergeCell ref="B32:F32"/>
    <mergeCell ref="G32:J32"/>
    <mergeCell ref="K32:N32"/>
    <mergeCell ref="O32:R32"/>
    <mergeCell ref="S32:V32"/>
    <mergeCell ref="W32:Z32"/>
    <mergeCell ref="A33:A45"/>
    <mergeCell ref="B33:F33"/>
    <mergeCell ref="G33:J33"/>
    <mergeCell ref="K33:N33"/>
    <mergeCell ref="O33:R33"/>
    <mergeCell ref="S33:V33"/>
    <mergeCell ref="W33:Z33"/>
    <mergeCell ref="B35:F35"/>
    <mergeCell ref="AA33:AF33"/>
    <mergeCell ref="AG33:AI33"/>
    <mergeCell ref="B34:F34"/>
    <mergeCell ref="G34:J34"/>
    <mergeCell ref="K34:N34"/>
    <mergeCell ref="O34:R34"/>
    <mergeCell ref="S34:V34"/>
    <mergeCell ref="W34:Z34"/>
    <mergeCell ref="AA34:AF34"/>
    <mergeCell ref="AG34:AI34"/>
    <mergeCell ref="G35:J35"/>
    <mergeCell ref="K35:N35"/>
    <mergeCell ref="O35:R35"/>
    <mergeCell ref="S35:V35"/>
    <mergeCell ref="W35:Z35"/>
    <mergeCell ref="AA35:AF35"/>
    <mergeCell ref="AG35:AI35"/>
    <mergeCell ref="B36:F36"/>
    <mergeCell ref="G36:J36"/>
    <mergeCell ref="K36:N36"/>
    <mergeCell ref="O36:R36"/>
    <mergeCell ref="S36:V36"/>
    <mergeCell ref="W36:Z36"/>
    <mergeCell ref="AA36:AF36"/>
    <mergeCell ref="AG36:AI36"/>
    <mergeCell ref="B37:F37"/>
    <mergeCell ref="G37:J37"/>
    <mergeCell ref="K37:N37"/>
    <mergeCell ref="O37:R37"/>
    <mergeCell ref="S37:V37"/>
    <mergeCell ref="W37:Z37"/>
    <mergeCell ref="AA37:AF37"/>
    <mergeCell ref="AG37:AI37"/>
    <mergeCell ref="B38:F38"/>
    <mergeCell ref="G38:J38"/>
    <mergeCell ref="K38:N38"/>
    <mergeCell ref="O38:R38"/>
    <mergeCell ref="S38:V38"/>
    <mergeCell ref="W38:Z38"/>
    <mergeCell ref="AA38:AF38"/>
    <mergeCell ref="AG38:AI38"/>
    <mergeCell ref="B39:F39"/>
    <mergeCell ref="G39:J39"/>
    <mergeCell ref="K39:N39"/>
    <mergeCell ref="O39:R39"/>
    <mergeCell ref="S39:V39"/>
    <mergeCell ref="W39:Z39"/>
    <mergeCell ref="AA39:AI39"/>
    <mergeCell ref="B40:F40"/>
    <mergeCell ref="G40:J40"/>
    <mergeCell ref="K40:N40"/>
    <mergeCell ref="O40:R40"/>
    <mergeCell ref="S40:V40"/>
    <mergeCell ref="W40:Z40"/>
    <mergeCell ref="AA40:AI40"/>
    <mergeCell ref="B41:F41"/>
    <mergeCell ref="G41:J41"/>
    <mergeCell ref="K41:N41"/>
    <mergeCell ref="O41:R41"/>
    <mergeCell ref="S43:V43"/>
    <mergeCell ref="W43:Z43"/>
    <mergeCell ref="B42:F42"/>
    <mergeCell ref="G42:J42"/>
    <mergeCell ref="K42:N42"/>
    <mergeCell ref="O42:R42"/>
    <mergeCell ref="S41:V41"/>
    <mergeCell ref="W41:Z41"/>
    <mergeCell ref="S42:V42"/>
    <mergeCell ref="W42:Z42"/>
    <mergeCell ref="S44:V44"/>
    <mergeCell ref="W44:Z44"/>
    <mergeCell ref="B43:F43"/>
    <mergeCell ref="G43:J43"/>
    <mergeCell ref="B44:F44"/>
    <mergeCell ref="G44:J44"/>
    <mergeCell ref="K44:N44"/>
    <mergeCell ref="O44:R44"/>
    <mergeCell ref="K43:N43"/>
    <mergeCell ref="O43:R43"/>
    <mergeCell ref="B45:F45"/>
    <mergeCell ref="G45:J45"/>
    <mergeCell ref="K45:N45"/>
    <mergeCell ref="O45:R45"/>
    <mergeCell ref="S45:V45"/>
    <mergeCell ref="W45:Z45"/>
    <mergeCell ref="A46:A58"/>
    <mergeCell ref="B46:F46"/>
    <mergeCell ref="G46:J46"/>
    <mergeCell ref="K46:N46"/>
    <mergeCell ref="O46:R46"/>
    <mergeCell ref="S46:V46"/>
    <mergeCell ref="W46:Z46"/>
    <mergeCell ref="B48:F48"/>
    <mergeCell ref="B47:F47"/>
    <mergeCell ref="G47:J47"/>
    <mergeCell ref="K47:N47"/>
    <mergeCell ref="O47:R47"/>
    <mergeCell ref="S47:V47"/>
    <mergeCell ref="W47:Z47"/>
    <mergeCell ref="AA47:AF47"/>
    <mergeCell ref="AG47:AI47"/>
    <mergeCell ref="G48:J48"/>
    <mergeCell ref="K48:N48"/>
    <mergeCell ref="O48:R48"/>
    <mergeCell ref="S48:V48"/>
    <mergeCell ref="W48:Z48"/>
    <mergeCell ref="AA48:AF48"/>
    <mergeCell ref="AG48:AI48"/>
    <mergeCell ref="B49:F49"/>
    <mergeCell ref="G49:J49"/>
    <mergeCell ref="K49:N49"/>
    <mergeCell ref="O49:R49"/>
    <mergeCell ref="S49:V49"/>
    <mergeCell ref="W49:Z49"/>
    <mergeCell ref="AA49:AF49"/>
    <mergeCell ref="B50:F50"/>
    <mergeCell ref="G50:J50"/>
    <mergeCell ref="K50:N50"/>
    <mergeCell ref="O50:R50"/>
    <mergeCell ref="S50:V50"/>
    <mergeCell ref="W50:Z50"/>
    <mergeCell ref="AA50:AF50"/>
    <mergeCell ref="AG50:AI50"/>
    <mergeCell ref="B51:F51"/>
    <mergeCell ref="G51:J51"/>
    <mergeCell ref="K51:N51"/>
    <mergeCell ref="O51:R51"/>
    <mergeCell ref="S51:V51"/>
    <mergeCell ref="W51:Z51"/>
    <mergeCell ref="AA51:AF51"/>
    <mergeCell ref="AG51:AI51"/>
    <mergeCell ref="B52:F52"/>
    <mergeCell ref="G52:J52"/>
    <mergeCell ref="K52:N52"/>
    <mergeCell ref="O52:R52"/>
    <mergeCell ref="S52:V52"/>
    <mergeCell ref="W52:Z52"/>
    <mergeCell ref="AA52:AI52"/>
    <mergeCell ref="B53:F53"/>
    <mergeCell ref="G53:J53"/>
    <mergeCell ref="K53:N53"/>
    <mergeCell ref="O53:R53"/>
    <mergeCell ref="S53:V53"/>
    <mergeCell ref="W53:Z53"/>
    <mergeCell ref="AA53:AI53"/>
    <mergeCell ref="B54:F54"/>
    <mergeCell ref="G54:J54"/>
    <mergeCell ref="K54:N54"/>
    <mergeCell ref="O54:R54"/>
    <mergeCell ref="S56:V56"/>
    <mergeCell ref="W56:Z56"/>
    <mergeCell ref="B55:F55"/>
    <mergeCell ref="G55:J55"/>
    <mergeCell ref="K55:N55"/>
    <mergeCell ref="O55:R55"/>
    <mergeCell ref="S54:V54"/>
    <mergeCell ref="W54:Z54"/>
    <mergeCell ref="S55:V55"/>
    <mergeCell ref="W55:Z55"/>
    <mergeCell ref="S57:V57"/>
    <mergeCell ref="W57:Z57"/>
    <mergeCell ref="B56:F56"/>
    <mergeCell ref="G56:J56"/>
    <mergeCell ref="B57:F57"/>
    <mergeCell ref="G57:J57"/>
    <mergeCell ref="K57:N57"/>
    <mergeCell ref="O57:R57"/>
    <mergeCell ref="K56:N56"/>
    <mergeCell ref="O56:R56"/>
    <mergeCell ref="B58:F58"/>
    <mergeCell ref="G58:J58"/>
    <mergeCell ref="K58:N58"/>
    <mergeCell ref="O58:R58"/>
    <mergeCell ref="S58:V58"/>
    <mergeCell ref="W58:Z58"/>
    <mergeCell ref="A59:A71"/>
    <mergeCell ref="B59:F59"/>
    <mergeCell ref="G59:J59"/>
    <mergeCell ref="K59:N59"/>
    <mergeCell ref="O59:R59"/>
    <mergeCell ref="S59:V59"/>
    <mergeCell ref="W59:Z59"/>
    <mergeCell ref="B61:F61"/>
    <mergeCell ref="AA59:AF59"/>
    <mergeCell ref="AG59:AI59"/>
    <mergeCell ref="B60:F60"/>
    <mergeCell ref="G60:J60"/>
    <mergeCell ref="K60:N60"/>
    <mergeCell ref="O60:R60"/>
    <mergeCell ref="S60:V60"/>
    <mergeCell ref="W60:Z60"/>
    <mergeCell ref="AA60:AF60"/>
    <mergeCell ref="AG60:AI60"/>
    <mergeCell ref="G61:J61"/>
    <mergeCell ref="K61:N61"/>
    <mergeCell ref="O61:R61"/>
    <mergeCell ref="S61:V61"/>
    <mergeCell ref="W61:Z61"/>
    <mergeCell ref="AA61:AF61"/>
    <mergeCell ref="AG61:AI61"/>
    <mergeCell ref="B62:F62"/>
    <mergeCell ref="G62:J62"/>
    <mergeCell ref="K62:N62"/>
    <mergeCell ref="O62:R62"/>
    <mergeCell ref="S62:V62"/>
    <mergeCell ref="W62:Z62"/>
    <mergeCell ref="AA62:AF62"/>
    <mergeCell ref="AG62:AI62"/>
    <mergeCell ref="B63:F63"/>
    <mergeCell ref="G63:J63"/>
    <mergeCell ref="K63:N63"/>
    <mergeCell ref="O63:R63"/>
    <mergeCell ref="S63:V63"/>
    <mergeCell ref="W63:Z63"/>
    <mergeCell ref="AA63:AF63"/>
    <mergeCell ref="AG63:AI63"/>
    <mergeCell ref="B64:F64"/>
    <mergeCell ref="G64:J64"/>
    <mergeCell ref="K64:N64"/>
    <mergeCell ref="O64:R64"/>
    <mergeCell ref="S64:V64"/>
    <mergeCell ref="W64:Z64"/>
    <mergeCell ref="AA64:AF64"/>
    <mergeCell ref="AG64:AI64"/>
    <mergeCell ref="B65:F65"/>
    <mergeCell ref="G65:J65"/>
    <mergeCell ref="K65:N65"/>
    <mergeCell ref="O65:R65"/>
    <mergeCell ref="S65:V65"/>
    <mergeCell ref="W65:Z65"/>
    <mergeCell ref="AA65:AI65"/>
    <mergeCell ref="B66:F66"/>
    <mergeCell ref="G66:J66"/>
    <mergeCell ref="K66:N66"/>
    <mergeCell ref="O66:R66"/>
    <mergeCell ref="S66:V66"/>
    <mergeCell ref="W66:Z66"/>
    <mergeCell ref="AA66:AI66"/>
    <mergeCell ref="B67:F67"/>
    <mergeCell ref="G67:J67"/>
    <mergeCell ref="K67:N67"/>
    <mergeCell ref="O67:R67"/>
    <mergeCell ref="S69:V69"/>
    <mergeCell ref="W69:Z69"/>
    <mergeCell ref="B68:F68"/>
    <mergeCell ref="G68:J68"/>
    <mergeCell ref="K68:N68"/>
    <mergeCell ref="O68:R68"/>
    <mergeCell ref="S67:V67"/>
    <mergeCell ref="W67:Z67"/>
    <mergeCell ref="S68:V68"/>
    <mergeCell ref="W68:Z68"/>
    <mergeCell ref="S70:V70"/>
    <mergeCell ref="W70:Z70"/>
    <mergeCell ref="B69:F69"/>
    <mergeCell ref="G69:J69"/>
    <mergeCell ref="B70:F70"/>
    <mergeCell ref="G70:J70"/>
    <mergeCell ref="K70:N70"/>
    <mergeCell ref="O70:R70"/>
    <mergeCell ref="K69:N69"/>
    <mergeCell ref="O69:R69"/>
    <mergeCell ref="B71:F71"/>
    <mergeCell ref="G71:J71"/>
    <mergeCell ref="K71:N71"/>
    <mergeCell ref="O71:R71"/>
    <mergeCell ref="S71:V71"/>
    <mergeCell ref="W71:Z71"/>
    <mergeCell ref="A72:A84"/>
    <mergeCell ref="B72:F72"/>
    <mergeCell ref="G72:J72"/>
    <mergeCell ref="K72:N72"/>
    <mergeCell ref="O72:R72"/>
    <mergeCell ref="S72:V72"/>
    <mergeCell ref="W72:Z72"/>
    <mergeCell ref="B74:F74"/>
    <mergeCell ref="B73:F73"/>
    <mergeCell ref="G73:J73"/>
    <mergeCell ref="K73:N73"/>
    <mergeCell ref="O73:R73"/>
    <mergeCell ref="S73:V73"/>
    <mergeCell ref="W73:Z73"/>
    <mergeCell ref="AA73:AF73"/>
    <mergeCell ref="AG73:AI73"/>
    <mergeCell ref="G74:J74"/>
    <mergeCell ref="K74:N74"/>
    <mergeCell ref="O74:R74"/>
    <mergeCell ref="S74:V74"/>
    <mergeCell ref="W74:Z74"/>
    <mergeCell ref="AA74:AF74"/>
    <mergeCell ref="AG74:AI74"/>
    <mergeCell ref="B75:F75"/>
    <mergeCell ref="G75:J75"/>
    <mergeCell ref="K75:N75"/>
    <mergeCell ref="O75:R75"/>
    <mergeCell ref="S75:V75"/>
    <mergeCell ref="W75:Z75"/>
    <mergeCell ref="AA75:AF75"/>
    <mergeCell ref="B76:F76"/>
    <mergeCell ref="G76:J76"/>
    <mergeCell ref="K76:N76"/>
    <mergeCell ref="O76:R76"/>
    <mergeCell ref="S76:V76"/>
    <mergeCell ref="W76:Z76"/>
    <mergeCell ref="AA76:AF76"/>
    <mergeCell ref="AG76:AI76"/>
    <mergeCell ref="B77:F77"/>
    <mergeCell ref="G77:J77"/>
    <mergeCell ref="K77:N77"/>
    <mergeCell ref="O77:R77"/>
    <mergeCell ref="S77:V77"/>
    <mergeCell ref="W77:Z77"/>
    <mergeCell ref="AA77:AF77"/>
    <mergeCell ref="AG77:AI77"/>
    <mergeCell ref="B78:F78"/>
    <mergeCell ref="G78:J78"/>
    <mergeCell ref="K78:N78"/>
    <mergeCell ref="O78:R78"/>
    <mergeCell ref="S78:V78"/>
    <mergeCell ref="W78:Z78"/>
    <mergeCell ref="AA78:AI78"/>
    <mergeCell ref="B79:F79"/>
    <mergeCell ref="G79:J79"/>
    <mergeCell ref="K79:N79"/>
    <mergeCell ref="O79:R79"/>
    <mergeCell ref="S79:V79"/>
    <mergeCell ref="W79:Z79"/>
    <mergeCell ref="AA79:AI79"/>
    <mergeCell ref="B80:F80"/>
    <mergeCell ref="G80:J80"/>
    <mergeCell ref="K80:N80"/>
    <mergeCell ref="O80:R80"/>
    <mergeCell ref="S82:V82"/>
    <mergeCell ref="W82:Z82"/>
    <mergeCell ref="B81:F81"/>
    <mergeCell ref="G81:J81"/>
    <mergeCell ref="K81:N81"/>
    <mergeCell ref="O81:R81"/>
    <mergeCell ref="S80:V80"/>
    <mergeCell ref="W80:Z80"/>
    <mergeCell ref="S81:V81"/>
    <mergeCell ref="W81:Z81"/>
    <mergeCell ref="S83:V83"/>
    <mergeCell ref="W83:Z83"/>
    <mergeCell ref="B82:F82"/>
    <mergeCell ref="G82:J82"/>
    <mergeCell ref="B83:F83"/>
    <mergeCell ref="G83:J83"/>
    <mergeCell ref="K83:N83"/>
    <mergeCell ref="O83:R83"/>
    <mergeCell ref="K82:N82"/>
    <mergeCell ref="O82:R82"/>
    <mergeCell ref="B84:F84"/>
    <mergeCell ref="G84:J84"/>
    <mergeCell ref="K84:N84"/>
    <mergeCell ref="O84:R84"/>
    <mergeCell ref="S84:V84"/>
    <mergeCell ref="W84:Z84"/>
    <mergeCell ref="A85:A97"/>
    <mergeCell ref="B85:F85"/>
    <mergeCell ref="G85:J85"/>
    <mergeCell ref="K85:N85"/>
    <mergeCell ref="O85:R85"/>
    <mergeCell ref="S85:V85"/>
    <mergeCell ref="W85:Z85"/>
    <mergeCell ref="B87:F87"/>
    <mergeCell ref="AA85:AF85"/>
    <mergeCell ref="AG85:AI85"/>
    <mergeCell ref="B86:F86"/>
    <mergeCell ref="G86:J86"/>
    <mergeCell ref="K86:N86"/>
    <mergeCell ref="O86:R86"/>
    <mergeCell ref="S86:V86"/>
    <mergeCell ref="W86:Z86"/>
    <mergeCell ref="AA86:AF86"/>
    <mergeCell ref="AG86:AI86"/>
    <mergeCell ref="G87:J87"/>
    <mergeCell ref="K87:N87"/>
    <mergeCell ref="O87:R87"/>
    <mergeCell ref="S87:V87"/>
    <mergeCell ref="W87:Z87"/>
    <mergeCell ref="AA87:AF87"/>
    <mergeCell ref="AG87:AI87"/>
    <mergeCell ref="B88:F88"/>
    <mergeCell ref="G88:J88"/>
    <mergeCell ref="K88:N88"/>
    <mergeCell ref="O88:R88"/>
    <mergeCell ref="S88:V88"/>
    <mergeCell ref="W88:Z88"/>
    <mergeCell ref="AA88:AF88"/>
    <mergeCell ref="AG88:AI88"/>
    <mergeCell ref="B89:F89"/>
    <mergeCell ref="G89:J89"/>
    <mergeCell ref="K89:N89"/>
    <mergeCell ref="O89:R89"/>
    <mergeCell ref="S89:V89"/>
    <mergeCell ref="W89:Z89"/>
    <mergeCell ref="AA89:AF89"/>
    <mergeCell ref="AG89:AI89"/>
    <mergeCell ref="B90:F90"/>
    <mergeCell ref="G90:J90"/>
    <mergeCell ref="K90:N90"/>
    <mergeCell ref="O90:R90"/>
    <mergeCell ref="S90:V90"/>
    <mergeCell ref="W90:Z90"/>
    <mergeCell ref="AA90:AF90"/>
    <mergeCell ref="AG90:AI90"/>
    <mergeCell ref="B91:F91"/>
    <mergeCell ref="G91:J91"/>
    <mergeCell ref="K91:N91"/>
    <mergeCell ref="O91:R91"/>
    <mergeCell ref="S91:V91"/>
    <mergeCell ref="W91:Z91"/>
    <mergeCell ref="AA91:AI91"/>
    <mergeCell ref="B92:F92"/>
    <mergeCell ref="G92:J92"/>
    <mergeCell ref="K92:N92"/>
    <mergeCell ref="O92:R92"/>
    <mergeCell ref="S92:V92"/>
    <mergeCell ref="W92:Z92"/>
    <mergeCell ref="AA92:AI92"/>
    <mergeCell ref="B93:F93"/>
    <mergeCell ref="G93:J93"/>
    <mergeCell ref="K93:N93"/>
    <mergeCell ref="O93:R93"/>
    <mergeCell ref="S95:V95"/>
    <mergeCell ref="W95:Z95"/>
    <mergeCell ref="B94:F94"/>
    <mergeCell ref="G94:J94"/>
    <mergeCell ref="K94:N94"/>
    <mergeCell ref="O94:R94"/>
    <mergeCell ref="S93:V93"/>
    <mergeCell ref="W93:Z93"/>
    <mergeCell ref="S94:V94"/>
    <mergeCell ref="W94:Z94"/>
    <mergeCell ref="S96:V96"/>
    <mergeCell ref="W96:Z96"/>
    <mergeCell ref="B95:F95"/>
    <mergeCell ref="G95:J95"/>
    <mergeCell ref="B96:F96"/>
    <mergeCell ref="G96:J96"/>
    <mergeCell ref="K96:N96"/>
    <mergeCell ref="O96:R96"/>
    <mergeCell ref="K95:N95"/>
    <mergeCell ref="O95:R95"/>
    <mergeCell ref="B97:F97"/>
    <mergeCell ref="G97:J97"/>
    <mergeCell ref="K97:N97"/>
    <mergeCell ref="O97:R97"/>
    <mergeCell ref="S97:V97"/>
    <mergeCell ref="W97:Z97"/>
    <mergeCell ref="A98:A110"/>
    <mergeCell ref="B98:F98"/>
    <mergeCell ref="G98:J98"/>
    <mergeCell ref="K98:N98"/>
    <mergeCell ref="O98:R98"/>
    <mergeCell ref="S98:V98"/>
    <mergeCell ref="W98:Z98"/>
    <mergeCell ref="B100:F100"/>
    <mergeCell ref="B99:F99"/>
    <mergeCell ref="G99:J99"/>
    <mergeCell ref="K99:N99"/>
    <mergeCell ref="O99:R99"/>
    <mergeCell ref="S99:V99"/>
    <mergeCell ref="W99:Z99"/>
    <mergeCell ref="AA99:AF99"/>
    <mergeCell ref="AG99:AI99"/>
    <mergeCell ref="G100:J100"/>
    <mergeCell ref="K100:N100"/>
    <mergeCell ref="O100:R100"/>
    <mergeCell ref="S100:V100"/>
    <mergeCell ref="W100:Z100"/>
    <mergeCell ref="AA100:AF100"/>
    <mergeCell ref="AG100:AI100"/>
    <mergeCell ref="B101:F101"/>
    <mergeCell ref="G101:J101"/>
    <mergeCell ref="K101:N101"/>
    <mergeCell ref="O101:R101"/>
    <mergeCell ref="S101:V101"/>
    <mergeCell ref="W101:Z101"/>
    <mergeCell ref="AA101:AF101"/>
    <mergeCell ref="B102:F102"/>
    <mergeCell ref="G102:J102"/>
    <mergeCell ref="K102:N102"/>
    <mergeCell ref="O102:R102"/>
    <mergeCell ref="S102:V102"/>
    <mergeCell ref="W102:Z102"/>
    <mergeCell ref="AA102:AF102"/>
    <mergeCell ref="AG102:AI102"/>
    <mergeCell ref="B103:F103"/>
    <mergeCell ref="G103:J103"/>
    <mergeCell ref="K103:N103"/>
    <mergeCell ref="O103:R103"/>
    <mergeCell ref="S103:V103"/>
    <mergeCell ref="W103:Z103"/>
    <mergeCell ref="AA103:AF103"/>
    <mergeCell ref="AG103:AI103"/>
    <mergeCell ref="B104:F104"/>
    <mergeCell ref="G104:J104"/>
    <mergeCell ref="K104:N104"/>
    <mergeCell ref="O104:R104"/>
    <mergeCell ref="S104:V104"/>
    <mergeCell ref="W104:Z104"/>
    <mergeCell ref="AA104:AI104"/>
    <mergeCell ref="B105:F105"/>
    <mergeCell ref="G105:J105"/>
    <mergeCell ref="K105:N105"/>
    <mergeCell ref="O105:R105"/>
    <mergeCell ref="S105:V105"/>
    <mergeCell ref="W105:Z105"/>
    <mergeCell ref="AA105:AI105"/>
    <mergeCell ref="B106:F106"/>
    <mergeCell ref="G106:J106"/>
    <mergeCell ref="K106:N106"/>
    <mergeCell ref="O106:R106"/>
    <mergeCell ref="S108:V108"/>
    <mergeCell ref="W108:Z108"/>
    <mergeCell ref="B107:F107"/>
    <mergeCell ref="G107:J107"/>
    <mergeCell ref="K107:N107"/>
    <mergeCell ref="O107:R107"/>
    <mergeCell ref="S106:V106"/>
    <mergeCell ref="W106:Z106"/>
    <mergeCell ref="S107:V107"/>
    <mergeCell ref="W107:Z107"/>
    <mergeCell ref="S109:V109"/>
    <mergeCell ref="W109:Z109"/>
    <mergeCell ref="B108:F108"/>
    <mergeCell ref="G108:J108"/>
    <mergeCell ref="B109:F109"/>
    <mergeCell ref="G109:J109"/>
    <mergeCell ref="K109:N109"/>
    <mergeCell ref="O109:R109"/>
    <mergeCell ref="K108:N108"/>
    <mergeCell ref="O108:R108"/>
    <mergeCell ref="B110:F110"/>
    <mergeCell ref="G110:J110"/>
    <mergeCell ref="K110:N110"/>
    <mergeCell ref="O110:R110"/>
    <mergeCell ref="S110:V110"/>
    <mergeCell ref="W110:Z110"/>
    <mergeCell ref="A111:A123"/>
    <mergeCell ref="B111:F111"/>
    <mergeCell ref="G111:J111"/>
    <mergeCell ref="K111:N111"/>
    <mergeCell ref="O111:R111"/>
    <mergeCell ref="S111:V111"/>
    <mergeCell ref="W111:Z111"/>
    <mergeCell ref="B113:F113"/>
    <mergeCell ref="AA111:AF111"/>
    <mergeCell ref="AG111:AI111"/>
    <mergeCell ref="B112:F112"/>
    <mergeCell ref="G112:J112"/>
    <mergeCell ref="K112:N112"/>
    <mergeCell ref="O112:R112"/>
    <mergeCell ref="S112:V112"/>
    <mergeCell ref="W112:Z112"/>
    <mergeCell ref="AA112:AF112"/>
    <mergeCell ref="AG112:AI112"/>
    <mergeCell ref="G113:J113"/>
    <mergeCell ref="K113:N113"/>
    <mergeCell ref="O113:R113"/>
    <mergeCell ref="S113:V113"/>
    <mergeCell ref="W113:Z113"/>
    <mergeCell ref="AA113:AF113"/>
    <mergeCell ref="AG113:AI113"/>
    <mergeCell ref="B114:F114"/>
    <mergeCell ref="G114:J114"/>
    <mergeCell ref="K114:N114"/>
    <mergeCell ref="O114:R114"/>
    <mergeCell ref="S114:V114"/>
    <mergeCell ref="W114:Z114"/>
    <mergeCell ref="AA114:AF114"/>
    <mergeCell ref="AG114:AI114"/>
    <mergeCell ref="B115:F115"/>
    <mergeCell ref="G115:J115"/>
    <mergeCell ref="K115:N115"/>
    <mergeCell ref="O115:R115"/>
    <mergeCell ref="S115:V115"/>
    <mergeCell ref="W115:Z115"/>
    <mergeCell ref="AA115:AF115"/>
    <mergeCell ref="AG115:AI115"/>
    <mergeCell ref="B116:F116"/>
    <mergeCell ref="G116:J116"/>
    <mergeCell ref="K116:N116"/>
    <mergeCell ref="O116:R116"/>
    <mergeCell ref="S116:V116"/>
    <mergeCell ref="W116:Z116"/>
    <mergeCell ref="AA116:AF116"/>
    <mergeCell ref="AG116:AI116"/>
    <mergeCell ref="B117:F117"/>
    <mergeCell ref="G117:J117"/>
    <mergeCell ref="K117:N117"/>
    <mergeCell ref="O117:R117"/>
    <mergeCell ref="S117:V117"/>
    <mergeCell ref="W117:Z117"/>
    <mergeCell ref="AA117:AI117"/>
    <mergeCell ref="B118:F118"/>
    <mergeCell ref="G118:J118"/>
    <mergeCell ref="K118:N118"/>
    <mergeCell ref="O118:R118"/>
    <mergeCell ref="S118:V118"/>
    <mergeCell ref="W118:Z118"/>
    <mergeCell ref="AA118:AI118"/>
    <mergeCell ref="B119:F119"/>
    <mergeCell ref="G119:J119"/>
    <mergeCell ref="K119:N119"/>
    <mergeCell ref="O119:R119"/>
    <mergeCell ref="S121:V121"/>
    <mergeCell ref="W121:Z121"/>
    <mergeCell ref="B120:F120"/>
    <mergeCell ref="G120:J120"/>
    <mergeCell ref="K120:N120"/>
    <mergeCell ref="O120:R120"/>
    <mergeCell ref="S119:V119"/>
    <mergeCell ref="W119:Z119"/>
    <mergeCell ref="S120:V120"/>
    <mergeCell ref="W120:Z120"/>
    <mergeCell ref="S122:V122"/>
    <mergeCell ref="W122:Z122"/>
    <mergeCell ref="B121:F121"/>
    <mergeCell ref="G121:J121"/>
    <mergeCell ref="B122:F122"/>
    <mergeCell ref="G122:J122"/>
    <mergeCell ref="K122:N122"/>
    <mergeCell ref="O122:R122"/>
    <mergeCell ref="K121:N121"/>
    <mergeCell ref="O121:R121"/>
    <mergeCell ref="B123:F123"/>
    <mergeCell ref="G123:J123"/>
    <mergeCell ref="K123:N123"/>
    <mergeCell ref="O123:R123"/>
    <mergeCell ref="S123:V123"/>
    <mergeCell ref="W123:Z123"/>
    <mergeCell ref="A124:A136"/>
    <mergeCell ref="B124:F124"/>
    <mergeCell ref="G124:J124"/>
    <mergeCell ref="K124:N124"/>
    <mergeCell ref="O124:R124"/>
    <mergeCell ref="S124:V124"/>
    <mergeCell ref="W124:Z124"/>
    <mergeCell ref="B126:F126"/>
    <mergeCell ref="B125:F125"/>
    <mergeCell ref="G125:J125"/>
    <mergeCell ref="K125:N125"/>
    <mergeCell ref="O125:R125"/>
    <mergeCell ref="S125:V125"/>
    <mergeCell ref="W125:Z125"/>
    <mergeCell ref="AA125:AF125"/>
    <mergeCell ref="AG125:AI125"/>
    <mergeCell ref="G126:J126"/>
    <mergeCell ref="K126:N126"/>
    <mergeCell ref="O126:R126"/>
    <mergeCell ref="S126:V126"/>
    <mergeCell ref="W126:Z126"/>
    <mergeCell ref="AA126:AF126"/>
    <mergeCell ref="AG126:AI126"/>
    <mergeCell ref="B127:F127"/>
    <mergeCell ref="G127:J127"/>
    <mergeCell ref="K127:N127"/>
    <mergeCell ref="O127:R127"/>
    <mergeCell ref="S127:V127"/>
    <mergeCell ref="W127:Z127"/>
    <mergeCell ref="AA127:AF127"/>
    <mergeCell ref="B128:F128"/>
    <mergeCell ref="G128:J128"/>
    <mergeCell ref="K128:N128"/>
    <mergeCell ref="O128:R128"/>
    <mergeCell ref="S128:V128"/>
    <mergeCell ref="W128:Z128"/>
    <mergeCell ref="AA128:AF128"/>
    <mergeCell ref="AG128:AI128"/>
    <mergeCell ref="B129:F129"/>
    <mergeCell ref="G129:J129"/>
    <mergeCell ref="K129:N129"/>
    <mergeCell ref="O129:R129"/>
    <mergeCell ref="S129:V129"/>
    <mergeCell ref="W129:Z129"/>
    <mergeCell ref="AA129:AF129"/>
    <mergeCell ref="AG129:AI129"/>
    <mergeCell ref="B130:F130"/>
    <mergeCell ref="G130:J130"/>
    <mergeCell ref="K130:N130"/>
    <mergeCell ref="O130:R130"/>
    <mergeCell ref="S130:V130"/>
    <mergeCell ref="W130:Z130"/>
    <mergeCell ref="AA130:AI130"/>
    <mergeCell ref="B131:F131"/>
    <mergeCell ref="G131:J131"/>
    <mergeCell ref="K131:N131"/>
    <mergeCell ref="O131:R131"/>
    <mergeCell ref="S131:V131"/>
    <mergeCell ref="W131:Z131"/>
    <mergeCell ref="AA131:AI131"/>
    <mergeCell ref="B132:F132"/>
    <mergeCell ref="G132:J132"/>
    <mergeCell ref="K132:N132"/>
    <mergeCell ref="O132:R132"/>
    <mergeCell ref="S134:V134"/>
    <mergeCell ref="W134:Z134"/>
    <mergeCell ref="B133:F133"/>
    <mergeCell ref="G133:J133"/>
    <mergeCell ref="K133:N133"/>
    <mergeCell ref="O133:R133"/>
    <mergeCell ref="S132:V132"/>
    <mergeCell ref="W132:Z132"/>
    <mergeCell ref="S133:V133"/>
    <mergeCell ref="W133:Z133"/>
    <mergeCell ref="S135:V135"/>
    <mergeCell ref="W135:Z135"/>
    <mergeCell ref="B134:F134"/>
    <mergeCell ref="G134:J134"/>
    <mergeCell ref="B135:F135"/>
    <mergeCell ref="G135:J135"/>
    <mergeCell ref="K135:N135"/>
    <mergeCell ref="O135:R135"/>
    <mergeCell ref="K134:N134"/>
    <mergeCell ref="O134:R134"/>
    <mergeCell ref="B136:F136"/>
    <mergeCell ref="G136:J136"/>
    <mergeCell ref="K136:N136"/>
    <mergeCell ref="O136:R136"/>
    <mergeCell ref="S136:V136"/>
    <mergeCell ref="W136:Z136"/>
    <mergeCell ref="A137:A149"/>
    <mergeCell ref="B137:F137"/>
    <mergeCell ref="G137:J137"/>
    <mergeCell ref="K137:N137"/>
    <mergeCell ref="O137:R137"/>
    <mergeCell ref="S137:V137"/>
    <mergeCell ref="W137:Z137"/>
    <mergeCell ref="B139:F139"/>
    <mergeCell ref="AG137:AI137"/>
    <mergeCell ref="B138:F138"/>
    <mergeCell ref="G138:J138"/>
    <mergeCell ref="K138:N138"/>
    <mergeCell ref="O138:R138"/>
    <mergeCell ref="S138:V138"/>
    <mergeCell ref="W138:Z138"/>
    <mergeCell ref="AA138:AF138"/>
    <mergeCell ref="AG138:AI138"/>
    <mergeCell ref="G139:J139"/>
    <mergeCell ref="K139:N139"/>
    <mergeCell ref="O139:R139"/>
    <mergeCell ref="S139:V139"/>
    <mergeCell ref="W139:Z139"/>
    <mergeCell ref="AA139:AF139"/>
    <mergeCell ref="AG139:AI139"/>
    <mergeCell ref="B140:F140"/>
    <mergeCell ref="G140:J140"/>
    <mergeCell ref="K140:N140"/>
    <mergeCell ref="O140:R140"/>
    <mergeCell ref="S140:V140"/>
    <mergeCell ref="W140:Z140"/>
    <mergeCell ref="AA140:AF140"/>
    <mergeCell ref="AG140:AI140"/>
    <mergeCell ref="B141:F141"/>
    <mergeCell ref="G141:J141"/>
    <mergeCell ref="K141:N141"/>
    <mergeCell ref="O141:R141"/>
    <mergeCell ref="S141:V141"/>
    <mergeCell ref="W141:Z141"/>
    <mergeCell ref="AA141:AF141"/>
    <mergeCell ref="AG141:AI141"/>
    <mergeCell ref="B142:F142"/>
    <mergeCell ref="G142:J142"/>
    <mergeCell ref="K142:N142"/>
    <mergeCell ref="O142:R142"/>
    <mergeCell ref="S142:V142"/>
    <mergeCell ref="W142:Z142"/>
    <mergeCell ref="AA142:AF142"/>
    <mergeCell ref="AG142:AI142"/>
    <mergeCell ref="B143:F143"/>
    <mergeCell ref="G143:J143"/>
    <mergeCell ref="K143:N143"/>
    <mergeCell ref="O143:R143"/>
    <mergeCell ref="S143:V143"/>
    <mergeCell ref="W143:Z143"/>
    <mergeCell ref="AA143:AI143"/>
    <mergeCell ref="B144:F144"/>
    <mergeCell ref="G144:J144"/>
    <mergeCell ref="K144:N144"/>
    <mergeCell ref="O144:R144"/>
    <mergeCell ref="S144:V144"/>
    <mergeCell ref="W144:Z144"/>
    <mergeCell ref="AA144:AI144"/>
    <mergeCell ref="B145:F145"/>
    <mergeCell ref="G145:J145"/>
    <mergeCell ref="K145:N145"/>
    <mergeCell ref="O145:R145"/>
    <mergeCell ref="S147:V147"/>
    <mergeCell ref="W147:Z147"/>
    <mergeCell ref="B146:F146"/>
    <mergeCell ref="G146:J146"/>
    <mergeCell ref="K146:N146"/>
    <mergeCell ref="O146:R146"/>
    <mergeCell ref="S145:V145"/>
    <mergeCell ref="W145:Z145"/>
    <mergeCell ref="S146:V146"/>
    <mergeCell ref="W146:Z146"/>
    <mergeCell ref="S148:V148"/>
    <mergeCell ref="W148:Z148"/>
    <mergeCell ref="B147:F147"/>
    <mergeCell ref="G147:J147"/>
    <mergeCell ref="B148:F148"/>
    <mergeCell ref="G148:J148"/>
    <mergeCell ref="K148:N148"/>
    <mergeCell ref="O148:R148"/>
    <mergeCell ref="K147:N147"/>
    <mergeCell ref="O147:R147"/>
    <mergeCell ref="S149:V149"/>
    <mergeCell ref="W149:Z149"/>
    <mergeCell ref="B149:F149"/>
    <mergeCell ref="G149:J149"/>
    <mergeCell ref="K149:N149"/>
    <mergeCell ref="O149:R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90"/>
  <sheetViews>
    <sheetView tabSelected="1" workbookViewId="0" topLeftCell="A61">
      <selection activeCell="A69" sqref="A69:F69"/>
    </sheetView>
  </sheetViews>
  <sheetFormatPr defaultColWidth="9.00390625" defaultRowHeight="12.75"/>
  <cols>
    <col min="1" max="3" width="3.75390625" style="3" customWidth="1"/>
    <col min="4" max="4" width="4.25390625" style="3" customWidth="1"/>
    <col min="5" max="5" width="5.00390625" style="3" customWidth="1"/>
    <col min="6" max="6" width="4.75390625" style="3" customWidth="1"/>
    <col min="7" max="20" width="3.75390625" style="3" customWidth="1"/>
    <col min="21" max="21" width="4.00390625" style="3" customWidth="1"/>
    <col min="22" max="23" width="3.75390625" style="3" customWidth="1"/>
    <col min="24" max="24" width="4.25390625" style="3" customWidth="1"/>
    <col min="25" max="25" width="4.00390625" style="3" customWidth="1"/>
    <col min="26" max="29" width="3.75390625" style="3" customWidth="1"/>
    <col min="30" max="30" width="4.25390625" style="3" customWidth="1"/>
    <col min="31" max="32" width="3.75390625" style="3" customWidth="1"/>
    <col min="33" max="33" width="4.00390625" style="3" customWidth="1"/>
    <col min="34" max="35" width="3.75390625" style="3" customWidth="1"/>
    <col min="36" max="36" width="4.00390625" style="3" customWidth="1"/>
    <col min="37" max="38" width="3.75390625" style="3" customWidth="1"/>
    <col min="39" max="39" width="4.00390625" style="3" customWidth="1"/>
    <col min="40" max="16384" width="3.75390625" style="3" customWidth="1"/>
  </cols>
  <sheetData>
    <row r="1" spans="7:44" s="7" customFormat="1" ht="12.75">
      <c r="G1" s="301" t="s">
        <v>11</v>
      </c>
      <c r="H1" s="301"/>
      <c r="I1" s="301"/>
      <c r="J1" s="301" t="s">
        <v>12</v>
      </c>
      <c r="K1" s="301"/>
      <c r="L1" s="301"/>
      <c r="M1" s="301" t="s">
        <v>13</v>
      </c>
      <c r="N1" s="301"/>
      <c r="O1" s="301"/>
      <c r="P1" s="301" t="s">
        <v>14</v>
      </c>
      <c r="Q1" s="301"/>
      <c r="R1" s="301"/>
      <c r="S1" s="301" t="s">
        <v>15</v>
      </c>
      <c r="T1" s="301"/>
      <c r="U1" s="301"/>
      <c r="V1" s="301" t="s">
        <v>16</v>
      </c>
      <c r="W1" s="301"/>
      <c r="X1" s="301"/>
      <c r="Y1" s="301" t="s">
        <v>17</v>
      </c>
      <c r="Z1" s="301"/>
      <c r="AA1" s="301"/>
      <c r="AB1" s="301" t="s">
        <v>18</v>
      </c>
      <c r="AC1" s="301"/>
      <c r="AD1" s="301"/>
      <c r="AE1" s="301" t="s">
        <v>19</v>
      </c>
      <c r="AF1" s="301"/>
      <c r="AG1" s="301"/>
      <c r="AH1" s="301" t="s">
        <v>20</v>
      </c>
      <c r="AI1" s="301"/>
      <c r="AJ1" s="301"/>
      <c r="AK1" s="301" t="s">
        <v>21</v>
      </c>
      <c r="AL1" s="301"/>
      <c r="AM1" s="301"/>
      <c r="AO1" s="301" t="s">
        <v>22</v>
      </c>
      <c r="AP1" s="301"/>
      <c r="AQ1" s="301"/>
      <c r="AR1" s="301"/>
    </row>
    <row r="2" spans="1:6" s="7" customFormat="1" ht="12.75">
      <c r="A2" s="300" t="s">
        <v>6</v>
      </c>
      <c r="B2" s="300"/>
      <c r="C2" s="300"/>
      <c r="D2" s="300"/>
      <c r="E2" s="300"/>
      <c r="F2" s="300"/>
    </row>
    <row r="3" spans="1:44" ht="12.75">
      <c r="A3" s="291" t="s">
        <v>75</v>
      </c>
      <c r="B3" s="291"/>
      <c r="C3" s="291"/>
      <c r="D3" s="291"/>
      <c r="E3" s="291"/>
      <c r="F3" s="291"/>
      <c r="G3" s="287">
        <f>'ЦФУ Посуда'!$W8</f>
        <v>1820</v>
      </c>
      <c r="H3" s="287"/>
      <c r="I3" s="287"/>
      <c r="J3" s="287">
        <f>'ЦФУ Посуда'!$W21</f>
        <v>2520</v>
      </c>
      <c r="K3" s="287"/>
      <c r="L3" s="287"/>
      <c r="M3" s="287">
        <f>'ЦФУ Посуда'!$W34</f>
        <v>3320</v>
      </c>
      <c r="N3" s="287"/>
      <c r="O3" s="287"/>
      <c r="P3" s="287">
        <f>'ЦФУ Посуда'!$W47</f>
        <v>4020</v>
      </c>
      <c r="Q3" s="287"/>
      <c r="R3" s="287"/>
      <c r="S3" s="287">
        <f>'ЦФУ Посуда'!$W60</f>
        <v>4720</v>
      </c>
      <c r="T3" s="287"/>
      <c r="U3" s="287"/>
      <c r="V3" s="287">
        <f>'ЦФУ Посуда'!$W73</f>
        <v>5120</v>
      </c>
      <c r="W3" s="287"/>
      <c r="X3" s="287"/>
      <c r="Y3" s="287">
        <f>'ЦФУ Посуда'!$W86</f>
        <v>5320</v>
      </c>
      <c r="Z3" s="287"/>
      <c r="AA3" s="287"/>
      <c r="AB3" s="287">
        <f>'ЦФУ Посуда'!$W99</f>
        <v>5320</v>
      </c>
      <c r="AC3" s="287"/>
      <c r="AD3" s="287"/>
      <c r="AE3" s="287">
        <f>'ЦФУ Посуда'!$W112</f>
        <v>5320</v>
      </c>
      <c r="AF3" s="287"/>
      <c r="AG3" s="287"/>
      <c r="AH3" s="287">
        <f>'ЦФУ Посуда'!$W125</f>
        <v>5320</v>
      </c>
      <c r="AI3" s="287"/>
      <c r="AJ3" s="287"/>
      <c r="AK3" s="287">
        <f>'ЦФУ Посуда'!$W138</f>
        <v>7700</v>
      </c>
      <c r="AL3" s="287"/>
      <c r="AM3" s="287"/>
      <c r="AN3" s="4"/>
      <c r="AO3" s="287">
        <f aca="true" t="shared" si="0" ref="AO3:AO8">SUM(G3:AM3)</f>
        <v>50500</v>
      </c>
      <c r="AP3" s="287"/>
      <c r="AQ3" s="287"/>
      <c r="AR3" s="287"/>
    </row>
    <row r="4" spans="1:44" ht="12.75">
      <c r="A4" s="291" t="s">
        <v>25</v>
      </c>
      <c r="B4" s="291"/>
      <c r="C4" s="291"/>
      <c r="D4" s="291"/>
      <c r="E4" s="291"/>
      <c r="F4" s="291"/>
      <c r="G4" s="287">
        <f>'ЦФУ Посуда'!$W19</f>
        <v>59.3</v>
      </c>
      <c r="H4" s="287"/>
      <c r="I4" s="287"/>
      <c r="J4" s="287">
        <f>'ЦФУ Посуда'!$W32</f>
        <v>69.8</v>
      </c>
      <c r="K4" s="287"/>
      <c r="L4" s="287"/>
      <c r="M4" s="287">
        <f>'ЦФУ Посуда'!$W45</f>
        <v>81.8</v>
      </c>
      <c r="N4" s="287"/>
      <c r="O4" s="287"/>
      <c r="P4" s="287">
        <f>'ЦФУ Посуда'!$W58</f>
        <v>92.3</v>
      </c>
      <c r="Q4" s="287"/>
      <c r="R4" s="287"/>
      <c r="S4" s="287">
        <f>'ЦФУ Посуда'!$W71</f>
        <v>102.8</v>
      </c>
      <c r="T4" s="287"/>
      <c r="U4" s="287"/>
      <c r="V4" s="287">
        <f>'ЦФУ Посуда'!$W84</f>
        <v>108.8</v>
      </c>
      <c r="W4" s="287"/>
      <c r="X4" s="287"/>
      <c r="Y4" s="287">
        <f>'ЦФУ Посуда'!$W97</f>
        <v>111.79999999999998</v>
      </c>
      <c r="Z4" s="287"/>
      <c r="AA4" s="287"/>
      <c r="AB4" s="287">
        <f>'ЦФУ Посуда'!$W110</f>
        <v>111.79999999999998</v>
      </c>
      <c r="AC4" s="287"/>
      <c r="AD4" s="287"/>
      <c r="AE4" s="287">
        <f>'ЦФУ Посуда'!$W123</f>
        <v>111.79999999999998</v>
      </c>
      <c r="AF4" s="287"/>
      <c r="AG4" s="287"/>
      <c r="AH4" s="287">
        <f>'ЦФУ Посуда'!$W136</f>
        <v>111.79999999999998</v>
      </c>
      <c r="AI4" s="287"/>
      <c r="AJ4" s="287"/>
      <c r="AK4" s="287">
        <f>'ЦФУ Посуда'!$W149</f>
        <v>165.03684210526313</v>
      </c>
      <c r="AL4" s="287"/>
      <c r="AM4" s="287"/>
      <c r="AN4" s="4"/>
      <c r="AO4" s="287">
        <f t="shared" si="0"/>
        <v>1127.0368421052628</v>
      </c>
      <c r="AP4" s="287"/>
      <c r="AQ4" s="287"/>
      <c r="AR4" s="287"/>
    </row>
    <row r="5" spans="1:44" ht="12.75">
      <c r="A5" s="293" t="s">
        <v>77</v>
      </c>
      <c r="B5" s="293"/>
      <c r="C5" s="293"/>
      <c r="D5" s="293"/>
      <c r="E5" s="293"/>
      <c r="F5" s="293"/>
      <c r="G5" s="287">
        <f>'ЦФУ Посуда'!$W13</f>
        <v>80</v>
      </c>
      <c r="H5" s="287"/>
      <c r="I5" s="287"/>
      <c r="J5" s="287">
        <f>'ЦФУ Посуда'!$W26</f>
        <v>80</v>
      </c>
      <c r="K5" s="287"/>
      <c r="L5" s="287"/>
      <c r="M5" s="287">
        <f>'ЦФУ Посуда'!$W39</f>
        <v>80</v>
      </c>
      <c r="N5" s="287"/>
      <c r="O5" s="287"/>
      <c r="P5" s="287">
        <f>'ЦФУ Посуда'!$W52</f>
        <v>80</v>
      </c>
      <c r="Q5" s="287"/>
      <c r="R5" s="287"/>
      <c r="S5" s="287">
        <f>'ЦФУ Посуда'!$W65</f>
        <v>80</v>
      </c>
      <c r="T5" s="287"/>
      <c r="U5" s="287"/>
      <c r="V5" s="287">
        <f>'ЦФУ Посуда'!$W78</f>
        <v>80</v>
      </c>
      <c r="W5" s="287"/>
      <c r="X5" s="287"/>
      <c r="Y5" s="287">
        <f>'ЦФУ Посуда'!$W91</f>
        <v>80</v>
      </c>
      <c r="Z5" s="287"/>
      <c r="AA5" s="287"/>
      <c r="AB5" s="287">
        <f>'ЦФУ Посуда'!$W104</f>
        <v>80</v>
      </c>
      <c r="AC5" s="287"/>
      <c r="AD5" s="287"/>
      <c r="AE5" s="287">
        <f>'ЦФУ Посуда'!$W117</f>
        <v>80</v>
      </c>
      <c r="AF5" s="287"/>
      <c r="AG5" s="287"/>
      <c r="AH5" s="287">
        <f>'ЦФУ Посуда'!$W130</f>
        <v>80</v>
      </c>
      <c r="AI5" s="287"/>
      <c r="AJ5" s="287"/>
      <c r="AK5" s="287">
        <f>'ЦФУ Посуда'!$W143</f>
        <v>80</v>
      </c>
      <c r="AL5" s="287"/>
      <c r="AM5" s="287"/>
      <c r="AN5" s="4"/>
      <c r="AO5" s="287">
        <f t="shared" si="0"/>
        <v>880</v>
      </c>
      <c r="AP5" s="287"/>
      <c r="AQ5" s="287"/>
      <c r="AR5" s="287"/>
    </row>
    <row r="6" spans="1:44" ht="12.75">
      <c r="A6" s="293" t="s">
        <v>78</v>
      </c>
      <c r="B6" s="293"/>
      <c r="C6" s="293"/>
      <c r="D6" s="293"/>
      <c r="E6" s="293"/>
      <c r="F6" s="293"/>
      <c r="G6" s="287">
        <f>G4+G5</f>
        <v>139.3</v>
      </c>
      <c r="H6" s="287"/>
      <c r="I6" s="287"/>
      <c r="J6" s="287">
        <f>J4+J5</f>
        <v>149.8</v>
      </c>
      <c r="K6" s="287"/>
      <c r="L6" s="287"/>
      <c r="M6" s="287">
        <f>M4+M5</f>
        <v>161.8</v>
      </c>
      <c r="N6" s="287"/>
      <c r="O6" s="287"/>
      <c r="P6" s="287">
        <f>P4+P5</f>
        <v>172.3</v>
      </c>
      <c r="Q6" s="287"/>
      <c r="R6" s="287"/>
      <c r="S6" s="287">
        <f>S4+S5</f>
        <v>182.8</v>
      </c>
      <c r="T6" s="287"/>
      <c r="U6" s="287"/>
      <c r="V6" s="287">
        <f>V4+V5</f>
        <v>188.8</v>
      </c>
      <c r="W6" s="287"/>
      <c r="X6" s="287"/>
      <c r="Y6" s="287">
        <f>Y4+Y5</f>
        <v>191.79999999999998</v>
      </c>
      <c r="Z6" s="287"/>
      <c r="AA6" s="287"/>
      <c r="AB6" s="287">
        <f>AB4+AB5</f>
        <v>191.79999999999998</v>
      </c>
      <c r="AC6" s="287"/>
      <c r="AD6" s="287"/>
      <c r="AE6" s="287">
        <f>AE4+AE5</f>
        <v>191.79999999999998</v>
      </c>
      <c r="AF6" s="287"/>
      <c r="AG6" s="287"/>
      <c r="AH6" s="287">
        <f>AH4+AH5</f>
        <v>191.79999999999998</v>
      </c>
      <c r="AI6" s="287"/>
      <c r="AJ6" s="287"/>
      <c r="AK6" s="287">
        <f>AK4+AK5</f>
        <v>245.03684210526313</v>
      </c>
      <c r="AL6" s="287"/>
      <c r="AM6" s="287"/>
      <c r="AN6" s="4"/>
      <c r="AO6" s="287">
        <f t="shared" si="0"/>
        <v>2007.0368421052628</v>
      </c>
      <c r="AP6" s="287"/>
      <c r="AQ6" s="287"/>
      <c r="AR6" s="287"/>
    </row>
    <row r="7" spans="1:44" ht="12.75">
      <c r="A7" s="319">
        <v>0.04</v>
      </c>
      <c r="B7" s="294"/>
      <c r="C7" s="294"/>
      <c r="D7" s="294"/>
      <c r="E7" s="294"/>
      <c r="F7" s="294"/>
      <c r="G7" s="287">
        <f>G3*0.04</f>
        <v>72.8</v>
      </c>
      <c r="H7" s="287"/>
      <c r="I7" s="287"/>
      <c r="J7" s="287">
        <f>J3*0.04</f>
        <v>100.8</v>
      </c>
      <c r="K7" s="287"/>
      <c r="L7" s="287"/>
      <c r="M7" s="287">
        <f>M3*0.04</f>
        <v>132.8</v>
      </c>
      <c r="N7" s="287"/>
      <c r="O7" s="287"/>
      <c r="P7" s="287">
        <f>P3*0.04</f>
        <v>160.8</v>
      </c>
      <c r="Q7" s="287"/>
      <c r="R7" s="287"/>
      <c r="S7" s="287">
        <f>S3*0.04</f>
        <v>188.8</v>
      </c>
      <c r="T7" s="287"/>
      <c r="U7" s="287"/>
      <c r="V7" s="287">
        <f>V3*0.04</f>
        <v>204.8</v>
      </c>
      <c r="W7" s="287"/>
      <c r="X7" s="287"/>
      <c r="Y7" s="287">
        <f>Y3*0.04</f>
        <v>212.8</v>
      </c>
      <c r="Z7" s="287"/>
      <c r="AA7" s="287"/>
      <c r="AB7" s="287">
        <f>AB3*0.04</f>
        <v>212.8</v>
      </c>
      <c r="AC7" s="287"/>
      <c r="AD7" s="287"/>
      <c r="AE7" s="287">
        <f>AE3*0.04</f>
        <v>212.8</v>
      </c>
      <c r="AF7" s="287"/>
      <c r="AG7" s="287"/>
      <c r="AH7" s="287">
        <f>AH3*0.04</f>
        <v>212.8</v>
      </c>
      <c r="AI7" s="287"/>
      <c r="AJ7" s="287"/>
      <c r="AK7" s="287">
        <f>AK3*0.04</f>
        <v>308</v>
      </c>
      <c r="AL7" s="287"/>
      <c r="AM7" s="287"/>
      <c r="AN7" s="4"/>
      <c r="AO7" s="287">
        <f t="shared" si="0"/>
        <v>2019.9999999999998</v>
      </c>
      <c r="AP7" s="287"/>
      <c r="AQ7" s="287"/>
      <c r="AR7" s="287"/>
    </row>
    <row r="8" spans="1:44" ht="12.75">
      <c r="A8" s="293" t="s">
        <v>76</v>
      </c>
      <c r="B8" s="293"/>
      <c r="C8" s="293"/>
      <c r="D8" s="293"/>
      <c r="E8" s="293"/>
      <c r="F8" s="293"/>
      <c r="G8" s="287">
        <f>'ЦФУ Посуда'!$AG9</f>
        <v>73.6842105263158</v>
      </c>
      <c r="H8" s="287"/>
      <c r="I8" s="287"/>
      <c r="J8" s="287">
        <f>'ЦФУ Посуда'!$AG22</f>
        <v>58.947368421052644</v>
      </c>
      <c r="K8" s="287"/>
      <c r="L8" s="287"/>
      <c r="M8" s="287">
        <f>'ЦФУ Посуда'!$AG35</f>
        <v>42.105263157894754</v>
      </c>
      <c r="N8" s="287"/>
      <c r="O8" s="287"/>
      <c r="P8" s="287">
        <f>'ЦФУ Посуда'!$AG48</f>
        <v>27.368421052631575</v>
      </c>
      <c r="Q8" s="287"/>
      <c r="R8" s="287"/>
      <c r="S8" s="287">
        <f>'ЦФУ Посуда'!$AG61</f>
        <v>12.631578947368421</v>
      </c>
      <c r="T8" s="287"/>
      <c r="U8" s="287"/>
      <c r="V8" s="287">
        <f>'ЦФУ Посуда'!$AG74</f>
        <v>4.21052631578948</v>
      </c>
      <c r="W8" s="287"/>
      <c r="X8" s="287"/>
      <c r="Y8" s="287">
        <f>'ЦФУ Посуда'!$AG87</f>
        <v>0</v>
      </c>
      <c r="Z8" s="287"/>
      <c r="AA8" s="287"/>
      <c r="AB8" s="287">
        <f>'ЦФУ Посуда'!$AG100</f>
        <v>0</v>
      </c>
      <c r="AC8" s="287"/>
      <c r="AD8" s="287"/>
      <c r="AE8" s="287">
        <f>'ЦФУ Посуда'!$AG113</f>
        <v>0</v>
      </c>
      <c r="AF8" s="287"/>
      <c r="AG8" s="287"/>
      <c r="AH8" s="287">
        <f>'ЦФУ Посуда'!$AG126</f>
        <v>0</v>
      </c>
      <c r="AI8" s="287"/>
      <c r="AJ8" s="287"/>
      <c r="AK8" s="287">
        <f>'ЦФУ Посуда'!$AG139</f>
        <v>0</v>
      </c>
      <c r="AL8" s="287"/>
      <c r="AM8" s="287"/>
      <c r="AN8" s="4"/>
      <c r="AO8" s="287">
        <f t="shared" si="0"/>
        <v>218.94736842105263</v>
      </c>
      <c r="AP8" s="287"/>
      <c r="AQ8" s="287"/>
      <c r="AR8" s="287"/>
    </row>
    <row r="9" spans="1:44" ht="12.75">
      <c r="A9" s="293" t="s">
        <v>224</v>
      </c>
      <c r="B9" s="293"/>
      <c r="C9" s="293"/>
      <c r="D9" s="293"/>
      <c r="E9" s="293"/>
      <c r="F9" s="293"/>
      <c r="G9" s="287">
        <f>'ЦФУ Посуда'!$AG11</f>
        <v>-73.6842105263158</v>
      </c>
      <c r="H9" s="287"/>
      <c r="I9" s="287"/>
      <c r="J9" s="287">
        <f>'ЦФУ Посуда'!$AG24</f>
        <v>-58.947368421052644</v>
      </c>
      <c r="K9" s="287"/>
      <c r="L9" s="287"/>
      <c r="M9" s="287">
        <f>'ЦФУ Посуда'!$AG37</f>
        <v>-42.105263157894754</v>
      </c>
      <c r="N9" s="287"/>
      <c r="O9" s="287"/>
      <c r="P9" s="287">
        <f>'ЦФУ Посуда'!$AG50</f>
        <v>-27.368421052631575</v>
      </c>
      <c r="Q9" s="287"/>
      <c r="R9" s="287"/>
      <c r="S9" s="287">
        <f>'ЦФУ Посуда'!$AG63</f>
        <v>-12.631578947368421</v>
      </c>
      <c r="T9" s="287"/>
      <c r="U9" s="287"/>
      <c r="V9" s="287">
        <f>'ЦФУ Посуда'!$AG76</f>
        <v>-4.210526315789473</v>
      </c>
      <c r="W9" s="287"/>
      <c r="X9" s="287"/>
      <c r="Y9" s="287">
        <f>'ЦФУ Посуда'!$AG89</f>
        <v>2.3092638912203253E-15</v>
      </c>
      <c r="Z9" s="287"/>
      <c r="AA9" s="287"/>
      <c r="AB9" s="287">
        <f>'ЦФУ Посуда'!$AG102</f>
        <v>2.3092638912203253E-15</v>
      </c>
      <c r="AC9" s="287"/>
      <c r="AD9" s="287"/>
      <c r="AE9" s="287">
        <f>'ЦФУ Посуда'!$AG115</f>
        <v>2.3092638912203253E-15</v>
      </c>
      <c r="AF9" s="287"/>
      <c r="AG9" s="287"/>
      <c r="AH9" s="287">
        <f>'ЦФУ Посуда'!$AG128</f>
        <v>2.3092638912203253E-15</v>
      </c>
      <c r="AI9" s="287"/>
      <c r="AJ9" s="287"/>
      <c r="AK9" s="287">
        <f>'ЦФУ Посуда'!$AG141</f>
        <v>32.56842105263158</v>
      </c>
      <c r="AL9" s="287"/>
      <c r="AM9" s="287"/>
      <c r="AN9" s="4"/>
      <c r="AO9" s="287">
        <f>SUM(G9:AM9)</f>
        <v>-186.37894736842105</v>
      </c>
      <c r="AP9" s="287"/>
      <c r="AQ9" s="287"/>
      <c r="AR9" s="287"/>
    </row>
    <row r="10" spans="1:44" ht="12.75">
      <c r="A10" s="300" t="s">
        <v>7</v>
      </c>
      <c r="B10" s="300"/>
      <c r="C10" s="300"/>
      <c r="D10" s="300"/>
      <c r="E10" s="300"/>
      <c r="F10" s="300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291" t="s">
        <v>75</v>
      </c>
      <c r="B11" s="291"/>
      <c r="C11" s="291"/>
      <c r="D11" s="291"/>
      <c r="E11" s="291"/>
      <c r="F11" s="291"/>
      <c r="G11" s="287">
        <f>'ЦФУ Оборуд.'!$W8</f>
        <v>360</v>
      </c>
      <c r="H11" s="287"/>
      <c r="I11" s="287"/>
      <c r="J11" s="287">
        <f>'ЦФУ Оборуд.'!$W21</f>
        <v>1300</v>
      </c>
      <c r="K11" s="287"/>
      <c r="L11" s="287"/>
      <c r="M11" s="287">
        <f>'ЦФУ Оборуд.'!$W34</f>
        <v>1960</v>
      </c>
      <c r="N11" s="287"/>
      <c r="O11" s="287"/>
      <c r="P11" s="287">
        <f>'ЦФУ Оборуд.'!$W47</f>
        <v>3000</v>
      </c>
      <c r="Q11" s="287"/>
      <c r="R11" s="287"/>
      <c r="S11" s="287">
        <f>'ЦФУ Оборуд.'!$W60</f>
        <v>4020</v>
      </c>
      <c r="T11" s="287"/>
      <c r="U11" s="287"/>
      <c r="V11" s="287">
        <f>'ЦФУ Оборуд.'!$W73</f>
        <v>4720</v>
      </c>
      <c r="W11" s="287"/>
      <c r="X11" s="287"/>
      <c r="Y11" s="287">
        <f>'ЦФУ Оборуд.'!$W86</f>
        <v>5120</v>
      </c>
      <c r="Z11" s="287"/>
      <c r="AA11" s="287"/>
      <c r="AB11" s="287">
        <f>'ЦФУ Оборуд.'!$W99</f>
        <v>5320</v>
      </c>
      <c r="AC11" s="287"/>
      <c r="AD11" s="287"/>
      <c r="AE11" s="287">
        <f>'ЦФУ Оборуд.'!$W112</f>
        <v>5320</v>
      </c>
      <c r="AF11" s="287"/>
      <c r="AG11" s="287"/>
      <c r="AH11" s="287">
        <f>'ЦФУ Оборуд.'!$W125</f>
        <v>5320</v>
      </c>
      <c r="AI11" s="287"/>
      <c r="AJ11" s="287"/>
      <c r="AK11" s="287">
        <f>'ЦФУ Оборуд.'!$W138</f>
        <v>5320</v>
      </c>
      <c r="AL11" s="287"/>
      <c r="AM11" s="287"/>
      <c r="AN11" s="4"/>
      <c r="AO11" s="287">
        <f aca="true" t="shared" si="1" ref="AO11:AO16">SUM(G11:AM11)</f>
        <v>41760</v>
      </c>
      <c r="AP11" s="287"/>
      <c r="AQ11" s="287"/>
      <c r="AR11" s="287"/>
    </row>
    <row r="12" spans="1:44" ht="12.75">
      <c r="A12" s="291" t="s">
        <v>25</v>
      </c>
      <c r="B12" s="291"/>
      <c r="C12" s="291"/>
      <c r="D12" s="291"/>
      <c r="E12" s="291"/>
      <c r="F12" s="291"/>
      <c r="G12" s="287">
        <f>'ЦФУ Оборуд.'!$W19</f>
        <v>46.8</v>
      </c>
      <c r="H12" s="287"/>
      <c r="I12" s="287"/>
      <c r="J12" s="287">
        <f>'ЦФУ Оборуд.'!$W32</f>
        <v>56.599999999999994</v>
      </c>
      <c r="K12" s="287"/>
      <c r="L12" s="287"/>
      <c r="M12" s="287">
        <f>'ЦФУ Оборуд.'!$W45</f>
        <v>63.599999999999994</v>
      </c>
      <c r="N12" s="287"/>
      <c r="O12" s="287"/>
      <c r="P12" s="287">
        <f>'ЦФУ Оборуд.'!$W58</f>
        <v>77</v>
      </c>
      <c r="Q12" s="287"/>
      <c r="R12" s="287"/>
      <c r="S12" s="287">
        <f>'ЦФУ Оборуд.'!$W71</f>
        <v>92.3</v>
      </c>
      <c r="T12" s="287"/>
      <c r="U12" s="287"/>
      <c r="V12" s="287">
        <f>'ЦФУ Оборуд.'!$W84</f>
        <v>102.8</v>
      </c>
      <c r="W12" s="287"/>
      <c r="X12" s="287"/>
      <c r="Y12" s="287">
        <f>'ЦФУ Оборуд.'!$W97</f>
        <v>108.8</v>
      </c>
      <c r="Z12" s="287"/>
      <c r="AA12" s="287"/>
      <c r="AB12" s="287">
        <f>'ЦФУ Оборуд.'!$W110</f>
        <v>111.79999999999998</v>
      </c>
      <c r="AC12" s="287"/>
      <c r="AD12" s="287"/>
      <c r="AE12" s="287">
        <f>'ЦФУ Оборуд.'!$W123</f>
        <v>111.79999999999998</v>
      </c>
      <c r="AF12" s="287"/>
      <c r="AG12" s="287"/>
      <c r="AH12" s="287">
        <f>'ЦФУ Оборуд.'!$W136</f>
        <v>111.79999999999998</v>
      </c>
      <c r="AI12" s="287"/>
      <c r="AJ12" s="287"/>
      <c r="AK12" s="287">
        <f>'ЦФУ Оборуд.'!$W149</f>
        <v>111.79999999999998</v>
      </c>
      <c r="AL12" s="287"/>
      <c r="AM12" s="287"/>
      <c r="AN12" s="4"/>
      <c r="AO12" s="287">
        <f t="shared" si="1"/>
        <v>995.0999999999998</v>
      </c>
      <c r="AP12" s="287"/>
      <c r="AQ12" s="287"/>
      <c r="AR12" s="287"/>
    </row>
    <row r="13" spans="1:44" ht="12.75">
      <c r="A13" s="293" t="s">
        <v>77</v>
      </c>
      <c r="B13" s="293"/>
      <c r="C13" s="293"/>
      <c r="D13" s="293"/>
      <c r="E13" s="293"/>
      <c r="F13" s="293"/>
      <c r="G13" s="287">
        <f>'ЦФУ Оборуд.'!$W13</f>
        <v>80</v>
      </c>
      <c r="H13" s="287"/>
      <c r="I13" s="287"/>
      <c r="J13" s="287">
        <f>'ЦФУ Оборуд.'!$W26</f>
        <v>80</v>
      </c>
      <c r="K13" s="287"/>
      <c r="L13" s="287"/>
      <c r="M13" s="287">
        <f>'ЦФУ Оборуд.'!$W39</f>
        <v>80</v>
      </c>
      <c r="N13" s="287"/>
      <c r="O13" s="287"/>
      <c r="P13" s="287">
        <f>'ЦФУ Оборуд.'!$W52</f>
        <v>80</v>
      </c>
      <c r="Q13" s="287"/>
      <c r="R13" s="287"/>
      <c r="S13" s="287">
        <f>'ЦФУ Оборуд.'!$W65</f>
        <v>80</v>
      </c>
      <c r="T13" s="287"/>
      <c r="U13" s="287"/>
      <c r="V13" s="287">
        <f>'ЦФУ Оборуд.'!$W78</f>
        <v>80</v>
      </c>
      <c r="W13" s="287"/>
      <c r="X13" s="287"/>
      <c r="Y13" s="287">
        <f>'ЦФУ Оборуд.'!$W91</f>
        <v>80</v>
      </c>
      <c r="Z13" s="287"/>
      <c r="AA13" s="287"/>
      <c r="AB13" s="287">
        <f>'ЦФУ Оборуд.'!$W104</f>
        <v>80</v>
      </c>
      <c r="AC13" s="287"/>
      <c r="AD13" s="287"/>
      <c r="AE13" s="287">
        <f>'ЦФУ Оборуд.'!$W117</f>
        <v>80</v>
      </c>
      <c r="AF13" s="287"/>
      <c r="AG13" s="287"/>
      <c r="AH13" s="287">
        <f>'ЦФУ Оборуд.'!$W130</f>
        <v>80</v>
      </c>
      <c r="AI13" s="287"/>
      <c r="AJ13" s="287"/>
      <c r="AK13" s="287">
        <f>'ЦФУ Оборуд.'!$W143</f>
        <v>80</v>
      </c>
      <c r="AL13" s="287"/>
      <c r="AM13" s="287"/>
      <c r="AN13" s="4"/>
      <c r="AO13" s="287">
        <f t="shared" si="1"/>
        <v>880</v>
      </c>
      <c r="AP13" s="287"/>
      <c r="AQ13" s="287"/>
      <c r="AR13" s="287"/>
    </row>
    <row r="14" spans="1:44" ht="12.75">
      <c r="A14" s="293" t="s">
        <v>78</v>
      </c>
      <c r="B14" s="293"/>
      <c r="C14" s="293"/>
      <c r="D14" s="293"/>
      <c r="E14" s="293"/>
      <c r="F14" s="293"/>
      <c r="G14" s="287">
        <f>G12+G13</f>
        <v>126.8</v>
      </c>
      <c r="H14" s="287"/>
      <c r="I14" s="287"/>
      <c r="J14" s="287">
        <f>J12+J13</f>
        <v>136.6</v>
      </c>
      <c r="K14" s="287"/>
      <c r="L14" s="287"/>
      <c r="M14" s="287">
        <f>M12+M13</f>
        <v>143.6</v>
      </c>
      <c r="N14" s="287"/>
      <c r="O14" s="287"/>
      <c r="P14" s="287">
        <f>P12+P13</f>
        <v>157</v>
      </c>
      <c r="Q14" s="287"/>
      <c r="R14" s="287"/>
      <c r="S14" s="287">
        <f>S12+S13</f>
        <v>172.3</v>
      </c>
      <c r="T14" s="287"/>
      <c r="U14" s="287"/>
      <c r="V14" s="287">
        <f>V12+V13</f>
        <v>182.8</v>
      </c>
      <c r="W14" s="287"/>
      <c r="X14" s="287"/>
      <c r="Y14" s="287">
        <f>Y12+Y13</f>
        <v>188.8</v>
      </c>
      <c r="Z14" s="287"/>
      <c r="AA14" s="287"/>
      <c r="AB14" s="287">
        <f>AB12+AB13</f>
        <v>191.79999999999998</v>
      </c>
      <c r="AC14" s="287"/>
      <c r="AD14" s="287"/>
      <c r="AE14" s="287">
        <f>AE12+AE13</f>
        <v>191.79999999999998</v>
      </c>
      <c r="AF14" s="287"/>
      <c r="AG14" s="287"/>
      <c r="AH14" s="287">
        <f>AH12+AH13</f>
        <v>191.79999999999998</v>
      </c>
      <c r="AI14" s="287"/>
      <c r="AJ14" s="287"/>
      <c r="AK14" s="287">
        <f>AK12+AK13</f>
        <v>191.79999999999998</v>
      </c>
      <c r="AL14" s="287"/>
      <c r="AM14" s="287"/>
      <c r="AN14" s="4"/>
      <c r="AO14" s="287">
        <f t="shared" si="1"/>
        <v>1875.0999999999997</v>
      </c>
      <c r="AP14" s="287"/>
      <c r="AQ14" s="287"/>
      <c r="AR14" s="287"/>
    </row>
    <row r="15" spans="1:44" ht="12.75">
      <c r="A15" s="319">
        <v>0.04</v>
      </c>
      <c r="B15" s="294"/>
      <c r="C15" s="294"/>
      <c r="D15" s="294"/>
      <c r="E15" s="294"/>
      <c r="F15" s="294"/>
      <c r="G15" s="287">
        <f>G11*0.04</f>
        <v>14.4</v>
      </c>
      <c r="H15" s="287"/>
      <c r="I15" s="287"/>
      <c r="J15" s="287">
        <f>J11*0.04</f>
        <v>52</v>
      </c>
      <c r="K15" s="287"/>
      <c r="L15" s="287"/>
      <c r="M15" s="287">
        <f>M11*0.04</f>
        <v>78.4</v>
      </c>
      <c r="N15" s="287"/>
      <c r="O15" s="287"/>
      <c r="P15" s="287">
        <f>P11*0.04</f>
        <v>120</v>
      </c>
      <c r="Q15" s="287"/>
      <c r="R15" s="287"/>
      <c r="S15" s="287">
        <f>S11*0.04</f>
        <v>160.8</v>
      </c>
      <c r="T15" s="287"/>
      <c r="U15" s="287"/>
      <c r="V15" s="287">
        <f>V11*0.04</f>
        <v>188.8</v>
      </c>
      <c r="W15" s="287"/>
      <c r="X15" s="287"/>
      <c r="Y15" s="287">
        <f>Y11*0.04</f>
        <v>204.8</v>
      </c>
      <c r="Z15" s="287"/>
      <c r="AA15" s="287"/>
      <c r="AB15" s="287">
        <f>AB11*0.04</f>
        <v>212.8</v>
      </c>
      <c r="AC15" s="287"/>
      <c r="AD15" s="287"/>
      <c r="AE15" s="287">
        <f>AE11*0.04</f>
        <v>212.8</v>
      </c>
      <c r="AF15" s="287"/>
      <c r="AG15" s="287"/>
      <c r="AH15" s="287">
        <f>AH11*0.04</f>
        <v>212.8</v>
      </c>
      <c r="AI15" s="287"/>
      <c r="AJ15" s="287"/>
      <c r="AK15" s="287">
        <f>AK11*0.04</f>
        <v>212.8</v>
      </c>
      <c r="AL15" s="287"/>
      <c r="AM15" s="287"/>
      <c r="AN15" s="4"/>
      <c r="AO15" s="287">
        <f t="shared" si="1"/>
        <v>1670.3999999999999</v>
      </c>
      <c r="AP15" s="287"/>
      <c r="AQ15" s="287"/>
      <c r="AR15" s="287"/>
    </row>
    <row r="16" spans="1:44" ht="12.75">
      <c r="A16" s="293" t="s">
        <v>76</v>
      </c>
      <c r="B16" s="293"/>
      <c r="C16" s="293"/>
      <c r="D16" s="293"/>
      <c r="E16" s="293"/>
      <c r="F16" s="293"/>
      <c r="G16" s="287">
        <f>'ЦФУ Оборуд.'!$AG9</f>
        <v>113.82105263157898</v>
      </c>
      <c r="H16" s="287"/>
      <c r="I16" s="287"/>
      <c r="J16" s="287">
        <f>'ЦФУ Оборуд.'!$AG22</f>
        <v>89.7315789473684</v>
      </c>
      <c r="K16" s="287"/>
      <c r="L16" s="287"/>
      <c r="M16" s="287">
        <f>'ЦФУ Оборуд.'!$AG35</f>
        <v>72.93684210526317</v>
      </c>
      <c r="N16" s="287"/>
      <c r="O16" s="287"/>
      <c r="P16" s="287">
        <f>'ЦФУ Оборуд.'!$AG48</f>
        <v>48.842105263157926</v>
      </c>
      <c r="Q16" s="287"/>
      <c r="R16" s="287"/>
      <c r="S16" s="287">
        <f>'ЦФУ Оборуд.'!$AG61</f>
        <v>27.368421052631575</v>
      </c>
      <c r="T16" s="287"/>
      <c r="U16" s="287"/>
      <c r="V16" s="287">
        <f>'ЦФУ Оборуд.'!$AG74</f>
        <v>12.631578947368421</v>
      </c>
      <c r="W16" s="287"/>
      <c r="X16" s="287"/>
      <c r="Y16" s="287">
        <f>'ЦФУ Оборуд.'!$AG87</f>
        <v>4.21052631578948</v>
      </c>
      <c r="Z16" s="287"/>
      <c r="AA16" s="287"/>
      <c r="AB16" s="287">
        <f>'ЦФУ Оборуд.'!$AG100</f>
        <v>0</v>
      </c>
      <c r="AC16" s="287"/>
      <c r="AD16" s="287"/>
      <c r="AE16" s="287">
        <f>'ЦФУ Оборуд.'!$AG113</f>
        <v>0</v>
      </c>
      <c r="AF16" s="287"/>
      <c r="AG16" s="287"/>
      <c r="AH16" s="287">
        <f>'ЦФУ Оборуд.'!$AG126</f>
        <v>0</v>
      </c>
      <c r="AI16" s="287"/>
      <c r="AJ16" s="287"/>
      <c r="AK16" s="287">
        <f>'ЦФУ Оборуд.'!$AG139</f>
        <v>0</v>
      </c>
      <c r="AL16" s="287"/>
      <c r="AM16" s="287"/>
      <c r="AN16" s="4"/>
      <c r="AO16" s="287">
        <f t="shared" si="1"/>
        <v>369.54210526315796</v>
      </c>
      <c r="AP16" s="287"/>
      <c r="AQ16" s="287"/>
      <c r="AR16" s="287"/>
    </row>
    <row r="17" spans="1:44" ht="12.75">
      <c r="A17" s="293" t="s">
        <v>224</v>
      </c>
      <c r="B17" s="293"/>
      <c r="C17" s="293"/>
      <c r="D17" s="293"/>
      <c r="E17" s="293"/>
      <c r="F17" s="293"/>
      <c r="G17" s="287">
        <f>'ЦФУ Оборуд.'!$AG11</f>
        <v>-113.82105263157898</v>
      </c>
      <c r="H17" s="287"/>
      <c r="I17" s="287"/>
      <c r="J17" s="287">
        <f>'ЦФУ Оборуд.'!$AG24</f>
        <v>-89.7315789473684</v>
      </c>
      <c r="K17" s="287"/>
      <c r="L17" s="287"/>
      <c r="M17" s="287">
        <f>'ЦФУ Оборуд.'!$AG37</f>
        <v>-72.93684210526317</v>
      </c>
      <c r="N17" s="287"/>
      <c r="O17" s="287"/>
      <c r="P17" s="287">
        <f>'ЦФУ Оборуд.'!$AG50</f>
        <v>-48.842105263157926</v>
      </c>
      <c r="Q17" s="287"/>
      <c r="R17" s="287"/>
      <c r="S17" s="287">
        <f>'ЦФУ Оборуд.'!$AG63</f>
        <v>-27.368421052631575</v>
      </c>
      <c r="T17" s="287"/>
      <c r="U17" s="287"/>
      <c r="V17" s="287">
        <f>'ЦФУ Оборуд.'!$AG76</f>
        <v>-12.631578947368421</v>
      </c>
      <c r="W17" s="287"/>
      <c r="X17" s="287"/>
      <c r="Y17" s="287">
        <f>'ЦФУ Оборуд.'!$AG89</f>
        <v>-4.210526315789469</v>
      </c>
      <c r="Z17" s="287"/>
      <c r="AA17" s="287"/>
      <c r="AB17" s="287">
        <f>'ЦФУ Оборуд.'!$AG102</f>
        <v>3.552713678800501E-15</v>
      </c>
      <c r="AC17" s="287"/>
      <c r="AD17" s="287"/>
      <c r="AE17" s="287">
        <f>'ЦФУ Оборуд.'!$AG115</f>
        <v>3.552713678800501E-15</v>
      </c>
      <c r="AF17" s="287"/>
      <c r="AG17" s="287"/>
      <c r="AH17" s="287">
        <f>'ЦФУ Оборуд.'!$AG128</f>
        <v>3.552713678800501E-15</v>
      </c>
      <c r="AI17" s="287"/>
      <c r="AJ17" s="287"/>
      <c r="AK17" s="287">
        <f>'ЦФУ Оборуд.'!$AG141</f>
        <v>3.552713678800501E-15</v>
      </c>
      <c r="AL17" s="287"/>
      <c r="AM17" s="287"/>
      <c r="AN17" s="4"/>
      <c r="AO17" s="287">
        <f>SUM(G17:AM17)</f>
        <v>-369.54210526315796</v>
      </c>
      <c r="AP17" s="287"/>
      <c r="AQ17" s="287"/>
      <c r="AR17" s="287"/>
    </row>
    <row r="18" spans="1:44" ht="12.75">
      <c r="A18" s="39"/>
      <c r="B18" s="39"/>
      <c r="C18" s="39"/>
      <c r="D18" s="39"/>
      <c r="E18" s="39"/>
      <c r="F18" s="3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2.75">
      <c r="A19" s="300" t="s">
        <v>8</v>
      </c>
      <c r="B19" s="300"/>
      <c r="C19" s="300"/>
      <c r="D19" s="300"/>
      <c r="E19" s="300"/>
      <c r="F19" s="300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2.75">
      <c r="A20" s="291" t="s">
        <v>75</v>
      </c>
      <c r="B20" s="291"/>
      <c r="C20" s="291"/>
      <c r="D20" s="291"/>
      <c r="E20" s="291"/>
      <c r="F20" s="291"/>
      <c r="G20" s="287">
        <f>'ЦФУ Текстиль'!$W8</f>
        <v>0</v>
      </c>
      <c r="H20" s="287"/>
      <c r="I20" s="287"/>
      <c r="J20" s="287">
        <f>'ЦФУ Текстиль'!$W21</f>
        <v>180</v>
      </c>
      <c r="K20" s="287"/>
      <c r="L20" s="287"/>
      <c r="M20" s="287">
        <f>'ЦФУ Текстиль'!$W34</f>
        <v>625</v>
      </c>
      <c r="N20" s="287"/>
      <c r="O20" s="287"/>
      <c r="P20" s="287">
        <f>'ЦФУ Текстиль'!$W47</f>
        <v>1260</v>
      </c>
      <c r="Q20" s="287"/>
      <c r="R20" s="287"/>
      <c r="S20" s="287">
        <f>'ЦФУ Текстиль'!$W60</f>
        <v>2200</v>
      </c>
      <c r="T20" s="287"/>
      <c r="U20" s="287"/>
      <c r="V20" s="287">
        <f>'ЦФУ Текстиль'!$W73</f>
        <v>3160</v>
      </c>
      <c r="W20" s="287"/>
      <c r="X20" s="287"/>
      <c r="Y20" s="287">
        <f>'ЦФУ Текстиль'!$W86</f>
        <v>4020</v>
      </c>
      <c r="Z20" s="287"/>
      <c r="AA20" s="287"/>
      <c r="AB20" s="287">
        <f>'ЦФУ Текстиль'!$W99</f>
        <v>4720</v>
      </c>
      <c r="AC20" s="287"/>
      <c r="AD20" s="287"/>
      <c r="AE20" s="287">
        <f>'ЦФУ Текстиль'!$W112</f>
        <v>5120</v>
      </c>
      <c r="AF20" s="287"/>
      <c r="AG20" s="287"/>
      <c r="AH20" s="287">
        <f>'ЦФУ Текстиль'!$W125</f>
        <v>5320</v>
      </c>
      <c r="AI20" s="287"/>
      <c r="AJ20" s="287"/>
      <c r="AK20" s="287">
        <f>'ЦФУ Текстиль'!$W138</f>
        <v>5320</v>
      </c>
      <c r="AL20" s="287"/>
      <c r="AM20" s="287"/>
      <c r="AN20" s="4"/>
      <c r="AO20" s="287">
        <f aca="true" t="shared" si="2" ref="AO20:AO25">SUM(G20:AM20)</f>
        <v>31925</v>
      </c>
      <c r="AP20" s="287"/>
      <c r="AQ20" s="287"/>
      <c r="AR20" s="287"/>
    </row>
    <row r="21" spans="1:44" ht="12.75">
      <c r="A21" s="291" t="s">
        <v>25</v>
      </c>
      <c r="B21" s="291"/>
      <c r="C21" s="291"/>
      <c r="D21" s="291"/>
      <c r="E21" s="291"/>
      <c r="F21" s="291"/>
      <c r="G21" s="287">
        <f>'ЦФУ Текстиль'!$W19</f>
        <v>8</v>
      </c>
      <c r="H21" s="287"/>
      <c r="I21" s="287"/>
      <c r="J21" s="287">
        <f>'ЦФУ Текстиль'!$W32</f>
        <v>10.7</v>
      </c>
      <c r="K21" s="287"/>
      <c r="L21" s="287"/>
      <c r="M21" s="287">
        <f>'ЦФУ Текстиль'!$W45</f>
        <v>22.575</v>
      </c>
      <c r="N21" s="287"/>
      <c r="O21" s="287"/>
      <c r="P21" s="287">
        <f>'ЦФУ Текстиль'!$W58</f>
        <v>35.900000000000006</v>
      </c>
      <c r="Q21" s="287"/>
      <c r="R21" s="287"/>
      <c r="S21" s="287">
        <f>'ЦФУ Текстиль'!$W71</f>
        <v>65</v>
      </c>
      <c r="T21" s="287"/>
      <c r="U21" s="287"/>
      <c r="V21" s="287">
        <f>'ЦФУ Текстиль'!$W84</f>
        <v>57.39999999999999</v>
      </c>
      <c r="W21" s="287"/>
      <c r="X21" s="287"/>
      <c r="Y21" s="287">
        <f>'ЦФУ Текстиль'!$W97</f>
        <v>67.5</v>
      </c>
      <c r="Z21" s="287"/>
      <c r="AA21" s="287"/>
      <c r="AB21" s="287">
        <f>'ЦФУ Текстиль'!$W110</f>
        <v>75.19999999999999</v>
      </c>
      <c r="AC21" s="287"/>
      <c r="AD21" s="287"/>
      <c r="AE21" s="287">
        <f>'ЦФУ Текстиль'!$W123</f>
        <v>81.19999999999999</v>
      </c>
      <c r="AF21" s="287"/>
      <c r="AG21" s="287"/>
      <c r="AH21" s="287">
        <f>'ЦФУ Текстиль'!$W136</f>
        <v>84.19999999999999</v>
      </c>
      <c r="AI21" s="287"/>
      <c r="AJ21" s="287"/>
      <c r="AK21" s="287">
        <f>'ЦФУ Текстиль'!$W149</f>
        <v>84.19999999999999</v>
      </c>
      <c r="AL21" s="287"/>
      <c r="AM21" s="287"/>
      <c r="AN21" s="4"/>
      <c r="AO21" s="287">
        <f t="shared" si="2"/>
        <v>591.875</v>
      </c>
      <c r="AP21" s="287"/>
      <c r="AQ21" s="287"/>
      <c r="AR21" s="287"/>
    </row>
    <row r="22" spans="1:44" ht="12.75">
      <c r="A22" s="293" t="s">
        <v>77</v>
      </c>
      <c r="B22" s="293"/>
      <c r="C22" s="293"/>
      <c r="D22" s="293"/>
      <c r="E22" s="293"/>
      <c r="F22" s="293"/>
      <c r="G22" s="287">
        <f>'ЦФУ Текстиль'!$W13</f>
        <v>20</v>
      </c>
      <c r="H22" s="287"/>
      <c r="I22" s="287"/>
      <c r="J22" s="287">
        <f>'ЦФУ Текстиль'!$W26</f>
        <v>40</v>
      </c>
      <c r="K22" s="287"/>
      <c r="L22" s="287"/>
      <c r="M22" s="287">
        <f>'ЦФУ Текстиль'!$W39</f>
        <v>60</v>
      </c>
      <c r="N22" s="287"/>
      <c r="O22" s="287"/>
      <c r="P22" s="287">
        <f>'ЦФУ Текстиль'!$W52</f>
        <v>80</v>
      </c>
      <c r="Q22" s="287"/>
      <c r="R22" s="287"/>
      <c r="S22" s="287">
        <f>'ЦФУ Текстиль'!$W65</f>
        <v>80</v>
      </c>
      <c r="T22" s="287"/>
      <c r="U22" s="287"/>
      <c r="V22" s="287">
        <f>'ЦФУ Текстиль'!$W78</f>
        <v>80</v>
      </c>
      <c r="W22" s="287"/>
      <c r="X22" s="287"/>
      <c r="Y22" s="287">
        <f>'ЦФУ Текстиль'!$W91</f>
        <v>80</v>
      </c>
      <c r="Z22" s="287"/>
      <c r="AA22" s="287"/>
      <c r="AB22" s="287">
        <f>'ЦФУ Текстиль'!$W104</f>
        <v>80</v>
      </c>
      <c r="AC22" s="287"/>
      <c r="AD22" s="287"/>
      <c r="AE22" s="287">
        <f>'ЦФУ Текстиль'!$W117</f>
        <v>80</v>
      </c>
      <c r="AF22" s="287"/>
      <c r="AG22" s="287"/>
      <c r="AH22" s="287">
        <f>'ЦФУ Текстиль'!$W130</f>
        <v>80</v>
      </c>
      <c r="AI22" s="287"/>
      <c r="AJ22" s="287"/>
      <c r="AK22" s="287">
        <f>'ЦФУ Текстиль'!$W143</f>
        <v>80</v>
      </c>
      <c r="AL22" s="287"/>
      <c r="AM22" s="287"/>
      <c r="AN22" s="4"/>
      <c r="AO22" s="287">
        <f t="shared" si="2"/>
        <v>760</v>
      </c>
      <c r="AP22" s="287"/>
      <c r="AQ22" s="287"/>
      <c r="AR22" s="287"/>
    </row>
    <row r="23" spans="1:44" ht="12.75">
      <c r="A23" s="293" t="s">
        <v>78</v>
      </c>
      <c r="B23" s="293"/>
      <c r="C23" s="293"/>
      <c r="D23" s="293"/>
      <c r="E23" s="293"/>
      <c r="F23" s="293"/>
      <c r="G23" s="287">
        <f>G21+G22</f>
        <v>28</v>
      </c>
      <c r="H23" s="287"/>
      <c r="I23" s="287"/>
      <c r="J23" s="287">
        <f>J21+J22</f>
        <v>50.7</v>
      </c>
      <c r="K23" s="287"/>
      <c r="L23" s="287"/>
      <c r="M23" s="287">
        <f>M21+M22</f>
        <v>82.575</v>
      </c>
      <c r="N23" s="287"/>
      <c r="O23" s="287"/>
      <c r="P23" s="287">
        <f>P21+P22</f>
        <v>115.9</v>
      </c>
      <c r="Q23" s="287"/>
      <c r="R23" s="287"/>
      <c r="S23" s="287">
        <f>S21+S22</f>
        <v>145</v>
      </c>
      <c r="T23" s="287"/>
      <c r="U23" s="287"/>
      <c r="V23" s="287">
        <f>V21+V22</f>
        <v>137.39999999999998</v>
      </c>
      <c r="W23" s="287"/>
      <c r="X23" s="287"/>
      <c r="Y23" s="287">
        <f>Y21+Y22</f>
        <v>147.5</v>
      </c>
      <c r="Z23" s="287"/>
      <c r="AA23" s="287"/>
      <c r="AB23" s="287">
        <f>AB21+AB22</f>
        <v>155.2</v>
      </c>
      <c r="AC23" s="287"/>
      <c r="AD23" s="287"/>
      <c r="AE23" s="287">
        <f>AE21+AE22</f>
        <v>161.2</v>
      </c>
      <c r="AF23" s="287"/>
      <c r="AG23" s="287"/>
      <c r="AH23" s="287">
        <f>AH21+AH22</f>
        <v>164.2</v>
      </c>
      <c r="AI23" s="287"/>
      <c r="AJ23" s="287"/>
      <c r="AK23" s="287">
        <f>AK21+AK22</f>
        <v>164.2</v>
      </c>
      <c r="AL23" s="287"/>
      <c r="AM23" s="287"/>
      <c r="AN23" s="4"/>
      <c r="AO23" s="287">
        <f t="shared" si="2"/>
        <v>1351.8750000000002</v>
      </c>
      <c r="AP23" s="287"/>
      <c r="AQ23" s="287"/>
      <c r="AR23" s="287"/>
    </row>
    <row r="24" spans="1:44" ht="12.75">
      <c r="A24" s="319">
        <v>0.04</v>
      </c>
      <c r="B24" s="294"/>
      <c r="C24" s="294"/>
      <c r="D24" s="294"/>
      <c r="E24" s="294"/>
      <c r="F24" s="294"/>
      <c r="G24" s="287">
        <f>G20*0.04</f>
        <v>0</v>
      </c>
      <c r="H24" s="287"/>
      <c r="I24" s="287"/>
      <c r="J24" s="287">
        <f>J20*0.04</f>
        <v>7.2</v>
      </c>
      <c r="K24" s="287"/>
      <c r="L24" s="287"/>
      <c r="M24" s="287">
        <f>M20*0.04</f>
        <v>25</v>
      </c>
      <c r="N24" s="287"/>
      <c r="O24" s="287"/>
      <c r="P24" s="287">
        <f>P20*0.04</f>
        <v>50.4</v>
      </c>
      <c r="Q24" s="287"/>
      <c r="R24" s="287"/>
      <c r="S24" s="287">
        <f>S20*0.04</f>
        <v>88</v>
      </c>
      <c r="T24" s="287"/>
      <c r="U24" s="287"/>
      <c r="V24" s="287">
        <f>V20*0.04</f>
        <v>126.4</v>
      </c>
      <c r="W24" s="287"/>
      <c r="X24" s="287"/>
      <c r="Y24" s="287">
        <f>Y20*0.04</f>
        <v>160.8</v>
      </c>
      <c r="Z24" s="287"/>
      <c r="AA24" s="287"/>
      <c r="AB24" s="287">
        <f>AB20*0.04</f>
        <v>188.8</v>
      </c>
      <c r="AC24" s="287"/>
      <c r="AD24" s="287"/>
      <c r="AE24" s="287">
        <f>AE20*0.04</f>
        <v>204.8</v>
      </c>
      <c r="AF24" s="287"/>
      <c r="AG24" s="287"/>
      <c r="AH24" s="287">
        <f>AH20*0.04</f>
        <v>212.8</v>
      </c>
      <c r="AI24" s="287"/>
      <c r="AJ24" s="287"/>
      <c r="AK24" s="287">
        <f>AK20*0.04</f>
        <v>212.8</v>
      </c>
      <c r="AL24" s="287"/>
      <c r="AM24" s="287"/>
      <c r="AN24" s="4"/>
      <c r="AO24" s="287">
        <f t="shared" si="2"/>
        <v>1277</v>
      </c>
      <c r="AP24" s="287"/>
      <c r="AQ24" s="287"/>
      <c r="AR24" s="287"/>
    </row>
    <row r="25" spans="1:44" ht="12" customHeight="1">
      <c r="A25" s="293" t="s">
        <v>76</v>
      </c>
      <c r="B25" s="293"/>
      <c r="C25" s="293"/>
      <c r="D25" s="293"/>
      <c r="E25" s="293"/>
      <c r="F25" s="293"/>
      <c r="G25" s="287">
        <f>'ЦФУ Текстиль'!$AG9</f>
        <v>27.978947368421053</v>
      </c>
      <c r="H25" s="287"/>
      <c r="I25" s="287"/>
      <c r="J25" s="287">
        <f>'ЦФУ Текстиль'!$AG22</f>
        <v>52.21052631578949</v>
      </c>
      <c r="K25" s="287"/>
      <c r="L25" s="287"/>
      <c r="M25" s="287">
        <f>'ЦФУ Текстиль'!$AG35</f>
        <v>70.84210526315789</v>
      </c>
      <c r="N25" s="287"/>
      <c r="O25" s="287"/>
      <c r="P25" s="287">
        <f>'ЦФУ Текстиль'!$AG48</f>
        <v>85.47368421052633</v>
      </c>
      <c r="Q25" s="287"/>
      <c r="R25" s="287"/>
      <c r="S25" s="287">
        <f>'ЦФУ Текстиль'!$AG61</f>
        <v>65.6842105263158</v>
      </c>
      <c r="T25" s="287"/>
      <c r="U25" s="287"/>
      <c r="V25" s="287">
        <f>'ЦФУ Текстиль'!$AG74</f>
        <v>45.47368421052633</v>
      </c>
      <c r="W25" s="287"/>
      <c r="X25" s="287"/>
      <c r="Y25" s="287">
        <f>'ЦФУ Текстиль'!$AG87</f>
        <v>27.368421052631575</v>
      </c>
      <c r="Z25" s="287"/>
      <c r="AA25" s="287"/>
      <c r="AB25" s="287">
        <f>'ЦФУ Текстиль'!$AG100</f>
        <v>12.631578947368421</v>
      </c>
      <c r="AC25" s="287"/>
      <c r="AD25" s="287"/>
      <c r="AE25" s="287">
        <f>'ЦФУ Текстиль'!$AG113</f>
        <v>4.21052631578948</v>
      </c>
      <c r="AF25" s="287"/>
      <c r="AG25" s="287"/>
      <c r="AH25" s="287">
        <f>'ЦФУ Текстиль'!$AG126</f>
        <v>0</v>
      </c>
      <c r="AI25" s="287"/>
      <c r="AJ25" s="287"/>
      <c r="AK25" s="287">
        <f>'ЦФУ Текстиль'!$AG139</f>
        <v>0</v>
      </c>
      <c r="AL25" s="287"/>
      <c r="AM25" s="287"/>
      <c r="AN25" s="4"/>
      <c r="AO25" s="287">
        <f t="shared" si="2"/>
        <v>391.87368421052633</v>
      </c>
      <c r="AP25" s="287"/>
      <c r="AQ25" s="287"/>
      <c r="AR25" s="287"/>
    </row>
    <row r="26" spans="1:44" ht="12" customHeight="1">
      <c r="A26" s="293" t="s">
        <v>224</v>
      </c>
      <c r="B26" s="293"/>
      <c r="C26" s="293"/>
      <c r="D26" s="293"/>
      <c r="E26" s="293"/>
      <c r="F26" s="293"/>
      <c r="G26" s="287">
        <f>'ЦФУ Текстиль'!$AG11</f>
        <v>-28</v>
      </c>
      <c r="H26" s="287"/>
      <c r="I26" s="287"/>
      <c r="J26" s="287">
        <f>'ЦФУ Текстиль'!$AG24</f>
        <v>-52.21052631578949</v>
      </c>
      <c r="K26" s="287"/>
      <c r="L26" s="287"/>
      <c r="M26" s="287">
        <f>'ЦФУ Текстиль'!$AG37</f>
        <v>-70.84210526315789</v>
      </c>
      <c r="N26" s="287"/>
      <c r="O26" s="287"/>
      <c r="P26" s="287">
        <f>'ЦФУ Текстиль'!$AG50</f>
        <v>-85.47368421052633</v>
      </c>
      <c r="Q26" s="287"/>
      <c r="R26" s="287"/>
      <c r="S26" s="287">
        <f>'ЦФУ Текстиль'!$AG63</f>
        <v>-65.6842105263158</v>
      </c>
      <c r="T26" s="287"/>
      <c r="U26" s="287"/>
      <c r="V26" s="287">
        <f>'ЦФУ Текстиль'!$AG76</f>
        <v>-45.47368421052633</v>
      </c>
      <c r="W26" s="287"/>
      <c r="X26" s="287"/>
      <c r="Y26" s="287">
        <f>'ЦФУ Текстиль'!$AG89</f>
        <v>-27.368421052631575</v>
      </c>
      <c r="Z26" s="287"/>
      <c r="AA26" s="287"/>
      <c r="AB26" s="287">
        <f>'ЦФУ Текстиль'!$AG102</f>
        <v>-12.631578947368421</v>
      </c>
      <c r="AC26" s="287"/>
      <c r="AD26" s="287"/>
      <c r="AE26" s="287">
        <f>'ЦФУ Текстиль'!$AG115</f>
        <v>-4.210526315789469</v>
      </c>
      <c r="AF26" s="287"/>
      <c r="AG26" s="287"/>
      <c r="AH26" s="287">
        <f>'ЦФУ Текстиль'!$AG128</f>
        <v>3.552713678800501E-15</v>
      </c>
      <c r="AI26" s="287"/>
      <c r="AJ26" s="287"/>
      <c r="AK26" s="287">
        <f>'ЦФУ Текстиль'!$AG141</f>
        <v>3.552713678800501E-15</v>
      </c>
      <c r="AL26" s="287"/>
      <c r="AM26" s="287"/>
      <c r="AN26" s="4"/>
      <c r="AO26" s="287">
        <f>SUM(G26:AM26)</f>
        <v>-391.8947368421053</v>
      </c>
      <c r="AP26" s="287"/>
      <c r="AQ26" s="287"/>
      <c r="AR26" s="287"/>
    </row>
    <row r="27" spans="1:44" ht="12.75">
      <c r="A27" s="297" t="s">
        <v>79</v>
      </c>
      <c r="B27" s="297"/>
      <c r="C27" s="297"/>
      <c r="D27" s="297"/>
      <c r="E27" s="297"/>
      <c r="F27" s="29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6" ht="12.75">
      <c r="A28" s="291" t="s">
        <v>75</v>
      </c>
      <c r="B28" s="291"/>
      <c r="C28" s="291"/>
      <c r="D28" s="291"/>
      <c r="E28" s="291"/>
      <c r="F28" s="291"/>
      <c r="G28" s="292">
        <f>G3+G11+G20</f>
        <v>2180</v>
      </c>
      <c r="H28" s="292"/>
      <c r="I28" s="292"/>
      <c r="J28" s="292">
        <f>J3+J11+J20</f>
        <v>4000</v>
      </c>
      <c r="K28" s="292"/>
      <c r="L28" s="292"/>
      <c r="M28" s="292">
        <f>M3+M11+M20</f>
        <v>5905</v>
      </c>
      <c r="N28" s="292"/>
      <c r="O28" s="292"/>
      <c r="P28" s="292">
        <f>P3+P11+P20</f>
        <v>8280</v>
      </c>
      <c r="Q28" s="292"/>
      <c r="R28" s="292"/>
      <c r="S28" s="292">
        <f>S3+S11+S20</f>
        <v>10940</v>
      </c>
      <c r="T28" s="292"/>
      <c r="U28" s="292"/>
      <c r="V28" s="292">
        <f>V3+V11+V20</f>
        <v>13000</v>
      </c>
      <c r="W28" s="292"/>
      <c r="X28" s="292"/>
      <c r="Y28" s="292">
        <f>Y3+Y11+Y20</f>
        <v>14460</v>
      </c>
      <c r="Z28" s="292"/>
      <c r="AA28" s="292"/>
      <c r="AB28" s="292">
        <f>AB3+AB11+AB20</f>
        <v>15360</v>
      </c>
      <c r="AC28" s="292"/>
      <c r="AD28" s="292"/>
      <c r="AE28" s="292">
        <f>AE3+AE11+AE20</f>
        <v>15760</v>
      </c>
      <c r="AF28" s="292"/>
      <c r="AG28" s="292"/>
      <c r="AH28" s="292">
        <f>AH3+AH11+AH20</f>
        <v>15960</v>
      </c>
      <c r="AI28" s="292"/>
      <c r="AJ28" s="292"/>
      <c r="AK28" s="292">
        <f>AK3+AK11+AK20</f>
        <v>18340</v>
      </c>
      <c r="AL28" s="292"/>
      <c r="AM28" s="292"/>
      <c r="AN28" s="4"/>
      <c r="AO28" s="292">
        <f>SUM(G28:AM28)</f>
        <v>124185</v>
      </c>
      <c r="AP28" s="292"/>
      <c r="AQ28" s="292"/>
      <c r="AR28" s="292"/>
      <c r="AS28" s="4"/>
      <c r="AT28" s="4"/>
    </row>
    <row r="29" spans="1:46" ht="12.75">
      <c r="A29" s="291" t="s">
        <v>237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87">
        <f>Y28-1400</f>
        <v>13060</v>
      </c>
      <c r="Z29" s="287"/>
      <c r="AA29" s="287"/>
      <c r="AB29" s="287">
        <f>AB28-1400</f>
        <v>13960</v>
      </c>
      <c r="AC29" s="287"/>
      <c r="AD29" s="287"/>
      <c r="AE29" s="287">
        <f>AE28-1400</f>
        <v>14360</v>
      </c>
      <c r="AF29" s="287"/>
      <c r="AG29" s="287"/>
      <c r="AH29" s="287">
        <f>AH28-1400</f>
        <v>14560</v>
      </c>
      <c r="AI29" s="287"/>
      <c r="AJ29" s="287"/>
      <c r="AK29" s="287">
        <f>AK28-1400</f>
        <v>16940</v>
      </c>
      <c r="AL29" s="287"/>
      <c r="AM29" s="287"/>
      <c r="AN29" s="4"/>
      <c r="AO29" s="288"/>
      <c r="AP29" s="288"/>
      <c r="AQ29" s="288"/>
      <c r="AR29" s="288"/>
      <c r="AS29" s="4"/>
      <c r="AT29" s="4"/>
    </row>
    <row r="30" spans="1:46" ht="12.75">
      <c r="A30" s="291">
        <f>'ЦФУ Посуда'!$L$2</f>
        <v>3.6052631578947367</v>
      </c>
      <c r="B30" s="291"/>
      <c r="C30" s="291"/>
      <c r="D30" s="291"/>
      <c r="G30" s="292">
        <f>G28</f>
        <v>2180</v>
      </c>
      <c r="H30" s="292"/>
      <c r="I30" s="292"/>
      <c r="J30" s="292">
        <f>J28</f>
        <v>4000</v>
      </c>
      <c r="K30" s="292"/>
      <c r="L30" s="292"/>
      <c r="M30" s="292">
        <f>M28</f>
        <v>5905</v>
      </c>
      <c r="N30" s="292"/>
      <c r="O30" s="292"/>
      <c r="P30" s="292">
        <f>P28</f>
        <v>8280</v>
      </c>
      <c r="Q30" s="292"/>
      <c r="R30" s="292"/>
      <c r="S30" s="292">
        <f>S28</f>
        <v>10940</v>
      </c>
      <c r="T30" s="292"/>
      <c r="U30" s="292"/>
      <c r="V30" s="292">
        <f>V28</f>
        <v>13000</v>
      </c>
      <c r="W30" s="292"/>
      <c r="X30" s="292"/>
      <c r="Y30" s="292">
        <f>Y29</f>
        <v>13060</v>
      </c>
      <c r="Z30" s="292"/>
      <c r="AA30" s="292"/>
      <c r="AB30" s="292">
        <f>AB29</f>
        <v>13960</v>
      </c>
      <c r="AC30" s="292"/>
      <c r="AD30" s="292"/>
      <c r="AE30" s="292">
        <f>AE29</f>
        <v>14360</v>
      </c>
      <c r="AF30" s="292"/>
      <c r="AG30" s="292"/>
      <c r="AH30" s="292">
        <f>AH29</f>
        <v>14560</v>
      </c>
      <c r="AI30" s="292"/>
      <c r="AJ30" s="292"/>
      <c r="AK30" s="292">
        <f>AK29</f>
        <v>16940</v>
      </c>
      <c r="AL30" s="292"/>
      <c r="AM30" s="292"/>
      <c r="AN30" s="4"/>
      <c r="AO30" s="292">
        <f aca="true" t="shared" si="3" ref="AO30:AO35">SUM(G30:AM30)</f>
        <v>117185</v>
      </c>
      <c r="AP30" s="292"/>
      <c r="AQ30" s="292"/>
      <c r="AR30" s="292"/>
      <c r="AS30" s="4"/>
      <c r="AT30" s="4"/>
    </row>
    <row r="31" spans="1:46" ht="12.75">
      <c r="A31" s="291" t="s">
        <v>25</v>
      </c>
      <c r="B31" s="291"/>
      <c r="C31" s="291"/>
      <c r="D31" s="291"/>
      <c r="E31" s="291"/>
      <c r="F31" s="291"/>
      <c r="G31" s="287">
        <f>G4+G12+G21</f>
        <v>114.1</v>
      </c>
      <c r="H31" s="287"/>
      <c r="I31" s="287"/>
      <c r="J31" s="287">
        <f aca="true" t="shared" si="4" ref="J31:J36">J4+J12+J21</f>
        <v>137.1</v>
      </c>
      <c r="K31" s="287"/>
      <c r="L31" s="287"/>
      <c r="M31" s="287">
        <f aca="true" t="shared" si="5" ref="M31:M36">M4+M12+M21</f>
        <v>167.97499999999997</v>
      </c>
      <c r="N31" s="287"/>
      <c r="O31" s="287"/>
      <c r="P31" s="287">
        <f aca="true" t="shared" si="6" ref="P31:P36">P4+P12+P21</f>
        <v>205.20000000000002</v>
      </c>
      <c r="Q31" s="287"/>
      <c r="R31" s="287"/>
      <c r="S31" s="287">
        <f aca="true" t="shared" si="7" ref="S31:S36">S4+S12+S21</f>
        <v>260.1</v>
      </c>
      <c r="T31" s="287"/>
      <c r="U31" s="287"/>
      <c r="V31" s="287">
        <f aca="true" t="shared" si="8" ref="V31:V36">V4+V12+V21</f>
        <v>269</v>
      </c>
      <c r="W31" s="287"/>
      <c r="X31" s="287"/>
      <c r="Y31" s="287">
        <f aca="true" t="shared" si="9" ref="Y31:Y36">Y4+Y12+Y21</f>
        <v>288.09999999999997</v>
      </c>
      <c r="Z31" s="287"/>
      <c r="AA31" s="287"/>
      <c r="AB31" s="287">
        <f aca="true" t="shared" si="10" ref="AB31:AB36">AB4+AB12+AB21</f>
        <v>298.79999999999995</v>
      </c>
      <c r="AC31" s="287"/>
      <c r="AD31" s="287"/>
      <c r="AE31" s="287">
        <f aca="true" t="shared" si="11" ref="AE31:AE36">AE4+AE12+AE21</f>
        <v>304.79999999999995</v>
      </c>
      <c r="AF31" s="287"/>
      <c r="AG31" s="287"/>
      <c r="AH31" s="287">
        <f aca="true" t="shared" si="12" ref="AH31:AH36">AH4+AH12+AH21</f>
        <v>307.79999999999995</v>
      </c>
      <c r="AI31" s="287"/>
      <c r="AJ31" s="287"/>
      <c r="AK31" s="287">
        <f aca="true" t="shared" si="13" ref="AK31:AK36">AK4+AK12+AK21</f>
        <v>361.03684210526313</v>
      </c>
      <c r="AL31" s="287"/>
      <c r="AM31" s="287"/>
      <c r="AN31" s="4"/>
      <c r="AO31" s="292">
        <f t="shared" si="3"/>
        <v>2714.0118421052625</v>
      </c>
      <c r="AP31" s="292"/>
      <c r="AQ31" s="292"/>
      <c r="AR31" s="292"/>
      <c r="AS31" s="4"/>
      <c r="AT31" s="4"/>
    </row>
    <row r="32" spans="1:46" ht="12.75">
      <c r="A32" s="293" t="s">
        <v>77</v>
      </c>
      <c r="B32" s="293"/>
      <c r="C32" s="293"/>
      <c r="D32" s="293"/>
      <c r="E32" s="293"/>
      <c r="F32" s="293"/>
      <c r="G32" s="287">
        <f>G5+G13+G22</f>
        <v>180</v>
      </c>
      <c r="H32" s="287"/>
      <c r="I32" s="287"/>
      <c r="J32" s="287">
        <f t="shared" si="4"/>
        <v>200</v>
      </c>
      <c r="K32" s="287"/>
      <c r="L32" s="287"/>
      <c r="M32" s="287">
        <f t="shared" si="5"/>
        <v>220</v>
      </c>
      <c r="N32" s="287"/>
      <c r="O32" s="287"/>
      <c r="P32" s="287">
        <f t="shared" si="6"/>
        <v>240</v>
      </c>
      <c r="Q32" s="287"/>
      <c r="R32" s="287"/>
      <c r="S32" s="287">
        <f t="shared" si="7"/>
        <v>240</v>
      </c>
      <c r="T32" s="287"/>
      <c r="U32" s="287"/>
      <c r="V32" s="287">
        <f t="shared" si="8"/>
        <v>240</v>
      </c>
      <c r="W32" s="287"/>
      <c r="X32" s="287"/>
      <c r="Y32" s="287">
        <f t="shared" si="9"/>
        <v>240</v>
      </c>
      <c r="Z32" s="287"/>
      <c r="AA32" s="287"/>
      <c r="AB32" s="287">
        <f t="shared" si="10"/>
        <v>240</v>
      </c>
      <c r="AC32" s="287"/>
      <c r="AD32" s="287"/>
      <c r="AE32" s="287">
        <f t="shared" si="11"/>
        <v>240</v>
      </c>
      <c r="AF32" s="287"/>
      <c r="AG32" s="287"/>
      <c r="AH32" s="287">
        <f t="shared" si="12"/>
        <v>240</v>
      </c>
      <c r="AI32" s="287"/>
      <c r="AJ32" s="287"/>
      <c r="AK32" s="287">
        <f t="shared" si="13"/>
        <v>240</v>
      </c>
      <c r="AL32" s="287"/>
      <c r="AM32" s="287"/>
      <c r="AN32" s="4"/>
      <c r="AO32" s="292">
        <f t="shared" si="3"/>
        <v>2520</v>
      </c>
      <c r="AP32" s="292"/>
      <c r="AQ32" s="292"/>
      <c r="AR32" s="292"/>
      <c r="AS32" s="4"/>
      <c r="AT32" s="4"/>
    </row>
    <row r="33" spans="1:46" ht="12.75">
      <c r="A33" s="293" t="s">
        <v>78</v>
      </c>
      <c r="B33" s="293"/>
      <c r="C33" s="293"/>
      <c r="D33" s="293"/>
      <c r="E33" s="293"/>
      <c r="F33" s="293"/>
      <c r="G33" s="287">
        <f>G6+G14+G23</f>
        <v>294.1</v>
      </c>
      <c r="H33" s="287"/>
      <c r="I33" s="287"/>
      <c r="J33" s="287">
        <f t="shared" si="4"/>
        <v>337.09999999999997</v>
      </c>
      <c r="K33" s="287"/>
      <c r="L33" s="287"/>
      <c r="M33" s="287">
        <f t="shared" si="5"/>
        <v>387.97499999999997</v>
      </c>
      <c r="N33" s="287"/>
      <c r="O33" s="287"/>
      <c r="P33" s="287">
        <f t="shared" si="6"/>
        <v>445.20000000000005</v>
      </c>
      <c r="Q33" s="287"/>
      <c r="R33" s="287"/>
      <c r="S33" s="287">
        <f t="shared" si="7"/>
        <v>500.1</v>
      </c>
      <c r="T33" s="287"/>
      <c r="U33" s="287"/>
      <c r="V33" s="287">
        <f t="shared" si="8"/>
        <v>509</v>
      </c>
      <c r="W33" s="287"/>
      <c r="X33" s="287"/>
      <c r="Y33" s="287">
        <f t="shared" si="9"/>
        <v>528.1</v>
      </c>
      <c r="Z33" s="287"/>
      <c r="AA33" s="287"/>
      <c r="AB33" s="287">
        <f t="shared" si="10"/>
        <v>538.8</v>
      </c>
      <c r="AC33" s="287"/>
      <c r="AD33" s="287"/>
      <c r="AE33" s="287">
        <f t="shared" si="11"/>
        <v>544.8</v>
      </c>
      <c r="AF33" s="287"/>
      <c r="AG33" s="287"/>
      <c r="AH33" s="287">
        <f t="shared" si="12"/>
        <v>547.8</v>
      </c>
      <c r="AI33" s="287"/>
      <c r="AJ33" s="287"/>
      <c r="AK33" s="287">
        <f t="shared" si="13"/>
        <v>601.0368421052631</v>
      </c>
      <c r="AL33" s="287"/>
      <c r="AM33" s="287"/>
      <c r="AN33" s="4"/>
      <c r="AO33" s="292">
        <f t="shared" si="3"/>
        <v>5234.011842105263</v>
      </c>
      <c r="AP33" s="292"/>
      <c r="AQ33" s="292"/>
      <c r="AR33" s="292"/>
      <c r="AS33" s="4"/>
      <c r="AT33" s="4"/>
    </row>
    <row r="34" spans="1:46" ht="12.75">
      <c r="A34" s="319">
        <v>0.04</v>
      </c>
      <c r="B34" s="294"/>
      <c r="C34" s="294"/>
      <c r="D34" s="294"/>
      <c r="E34" s="294"/>
      <c r="F34" s="294"/>
      <c r="G34" s="287">
        <f>G30*0.04</f>
        <v>87.2</v>
      </c>
      <c r="H34" s="287"/>
      <c r="I34" s="287"/>
      <c r="J34" s="287">
        <f>J30*0.04</f>
        <v>160</v>
      </c>
      <c r="K34" s="287"/>
      <c r="L34" s="287"/>
      <c r="M34" s="287">
        <f>M30*0.04</f>
        <v>236.20000000000002</v>
      </c>
      <c r="N34" s="287"/>
      <c r="O34" s="287"/>
      <c r="P34" s="287">
        <f>P30*0.04</f>
        <v>331.2</v>
      </c>
      <c r="Q34" s="287"/>
      <c r="R34" s="287"/>
      <c r="S34" s="287">
        <f>S30*0.04</f>
        <v>437.6</v>
      </c>
      <c r="T34" s="287"/>
      <c r="U34" s="287"/>
      <c r="V34" s="287">
        <f>V30*0.04</f>
        <v>520</v>
      </c>
      <c r="W34" s="287"/>
      <c r="X34" s="287"/>
      <c r="Y34" s="287">
        <f>Y30*0.04</f>
        <v>522.4</v>
      </c>
      <c r="Z34" s="287"/>
      <c r="AA34" s="287"/>
      <c r="AB34" s="287">
        <f>AB30*0.04</f>
        <v>558.4</v>
      </c>
      <c r="AC34" s="287"/>
      <c r="AD34" s="287"/>
      <c r="AE34" s="287">
        <f>AE30*0.04</f>
        <v>574.4</v>
      </c>
      <c r="AF34" s="287"/>
      <c r="AG34" s="287"/>
      <c r="AH34" s="287">
        <f>AH30*0.04</f>
        <v>582.4</v>
      </c>
      <c r="AI34" s="287"/>
      <c r="AJ34" s="287"/>
      <c r="AK34" s="287">
        <f>AK30*0.04</f>
        <v>677.6</v>
      </c>
      <c r="AL34" s="287"/>
      <c r="AM34" s="287"/>
      <c r="AN34" s="4"/>
      <c r="AO34" s="292">
        <f t="shared" si="3"/>
        <v>4687.400000000001</v>
      </c>
      <c r="AP34" s="292"/>
      <c r="AQ34" s="292"/>
      <c r="AR34" s="292"/>
      <c r="AS34" s="4"/>
      <c r="AT34" s="4"/>
    </row>
    <row r="35" spans="1:46" ht="12.75">
      <c r="A35" s="293" t="s">
        <v>76</v>
      </c>
      <c r="B35" s="293"/>
      <c r="C35" s="293"/>
      <c r="D35" s="293"/>
      <c r="E35" s="293"/>
      <c r="F35" s="293"/>
      <c r="G35" s="287">
        <f>G8+G16+G25</f>
        <v>215.48421052631582</v>
      </c>
      <c r="H35" s="287"/>
      <c r="I35" s="287"/>
      <c r="J35" s="287">
        <f t="shared" si="4"/>
        <v>200.88947368421054</v>
      </c>
      <c r="K35" s="287"/>
      <c r="L35" s="287"/>
      <c r="M35" s="287">
        <f t="shared" si="5"/>
        <v>185.88421052631583</v>
      </c>
      <c r="N35" s="287"/>
      <c r="O35" s="287"/>
      <c r="P35" s="287">
        <f t="shared" si="6"/>
        <v>161.68421052631584</v>
      </c>
      <c r="Q35" s="287"/>
      <c r="R35" s="287"/>
      <c r="S35" s="287">
        <f t="shared" si="7"/>
        <v>105.6842105263158</v>
      </c>
      <c r="T35" s="287"/>
      <c r="U35" s="287"/>
      <c r="V35" s="287">
        <f t="shared" si="8"/>
        <v>62.315789473684234</v>
      </c>
      <c r="W35" s="287"/>
      <c r="X35" s="287"/>
      <c r="Y35" s="287">
        <f t="shared" si="9"/>
        <v>31.578947368421055</v>
      </c>
      <c r="Z35" s="287"/>
      <c r="AA35" s="287"/>
      <c r="AB35" s="287">
        <f t="shared" si="10"/>
        <v>12.631578947368421</v>
      </c>
      <c r="AC35" s="287"/>
      <c r="AD35" s="287"/>
      <c r="AE35" s="287">
        <f t="shared" si="11"/>
        <v>4.21052631578948</v>
      </c>
      <c r="AF35" s="287"/>
      <c r="AG35" s="287"/>
      <c r="AH35" s="287">
        <f t="shared" si="12"/>
        <v>0</v>
      </c>
      <c r="AI35" s="287"/>
      <c r="AJ35" s="287"/>
      <c r="AK35" s="287">
        <f t="shared" si="13"/>
        <v>0</v>
      </c>
      <c r="AL35" s="287"/>
      <c r="AM35" s="287"/>
      <c r="AN35" s="4"/>
      <c r="AO35" s="292">
        <f t="shared" si="3"/>
        <v>980.3631578947371</v>
      </c>
      <c r="AP35" s="292"/>
      <c r="AQ35" s="292"/>
      <c r="AR35" s="292"/>
      <c r="AS35" s="4"/>
      <c r="AT35" s="4"/>
    </row>
    <row r="36" spans="1:46" ht="12.75">
      <c r="A36" s="293" t="s">
        <v>224</v>
      </c>
      <c r="B36" s="293"/>
      <c r="C36" s="293"/>
      <c r="D36" s="293"/>
      <c r="E36" s="293"/>
      <c r="F36" s="293"/>
      <c r="G36" s="287">
        <f>G9+G17+G26</f>
        <v>-215.50526315789477</v>
      </c>
      <c r="H36" s="287"/>
      <c r="I36" s="287"/>
      <c r="J36" s="287">
        <f t="shared" si="4"/>
        <v>-200.88947368421054</v>
      </c>
      <c r="K36" s="287"/>
      <c r="L36" s="287"/>
      <c r="M36" s="287">
        <f t="shared" si="5"/>
        <v>-185.88421052631583</v>
      </c>
      <c r="N36" s="287"/>
      <c r="O36" s="287"/>
      <c r="P36" s="287">
        <f t="shared" si="6"/>
        <v>-161.68421052631584</v>
      </c>
      <c r="Q36" s="287"/>
      <c r="R36" s="287"/>
      <c r="S36" s="287">
        <f t="shared" si="7"/>
        <v>-105.6842105263158</v>
      </c>
      <c r="T36" s="287"/>
      <c r="U36" s="287"/>
      <c r="V36" s="287">
        <f t="shared" si="8"/>
        <v>-62.31578947368422</v>
      </c>
      <c r="W36" s="287"/>
      <c r="X36" s="287"/>
      <c r="Y36" s="287">
        <f t="shared" si="9"/>
        <v>-31.57894736842104</v>
      </c>
      <c r="Z36" s="287"/>
      <c r="AA36" s="287"/>
      <c r="AB36" s="287">
        <f t="shared" si="10"/>
        <v>-12.631578947368416</v>
      </c>
      <c r="AC36" s="287"/>
      <c r="AD36" s="287"/>
      <c r="AE36" s="287">
        <f t="shared" si="11"/>
        <v>-4.210526315789463</v>
      </c>
      <c r="AF36" s="287"/>
      <c r="AG36" s="287"/>
      <c r="AH36" s="287">
        <f t="shared" si="12"/>
        <v>9.414691248821327E-15</v>
      </c>
      <c r="AI36" s="287"/>
      <c r="AJ36" s="287"/>
      <c r="AK36" s="287">
        <f t="shared" si="13"/>
        <v>32.56842105263158</v>
      </c>
      <c r="AL36" s="287"/>
      <c r="AM36" s="287"/>
      <c r="AN36" s="4"/>
      <c r="AO36" s="292">
        <f>SUM(G36:AM36)</f>
        <v>-947.8157894736843</v>
      </c>
      <c r="AP36" s="292"/>
      <c r="AQ36" s="292"/>
      <c r="AR36" s="292"/>
      <c r="AS36" s="4"/>
      <c r="AT36" s="4"/>
    </row>
    <row r="37" spans="1:46" ht="12.75">
      <c r="A37" s="319" t="s">
        <v>288</v>
      </c>
      <c r="B37" s="294"/>
      <c r="C37" s="294"/>
      <c r="D37" s="294"/>
      <c r="E37" s="294"/>
      <c r="F37" s="294"/>
      <c r="G37" s="287">
        <f>(4-$A$30)*G30/100</f>
        <v>8.60526315789474</v>
      </c>
      <c r="H37" s="287"/>
      <c r="I37" s="287"/>
      <c r="J37" s="287">
        <f>(4-$A$30)*J30/100</f>
        <v>15.789473684210531</v>
      </c>
      <c r="K37" s="287"/>
      <c r="L37" s="287"/>
      <c r="M37" s="287">
        <f>(4-$A$30)*M30/100</f>
        <v>23.309210526315795</v>
      </c>
      <c r="N37" s="287"/>
      <c r="O37" s="287"/>
      <c r="P37" s="287">
        <f>(4-$A$30)*P30/100</f>
        <v>32.6842105263158</v>
      </c>
      <c r="Q37" s="287"/>
      <c r="R37" s="287"/>
      <c r="S37" s="287">
        <f>(4-$A$30)*S30/100</f>
        <v>43.1842105263158</v>
      </c>
      <c r="T37" s="287"/>
      <c r="U37" s="287"/>
      <c r="V37" s="287">
        <f>(4-$A$30)*V30/100</f>
        <v>51.31578947368423</v>
      </c>
      <c r="W37" s="287"/>
      <c r="X37" s="287"/>
      <c r="Y37" s="287">
        <f>(4-$A$30)*Y30/100</f>
        <v>51.552631578947384</v>
      </c>
      <c r="Z37" s="287"/>
      <c r="AA37" s="287"/>
      <c r="AB37" s="287">
        <f>(4-$A$30)*AB30/100</f>
        <v>55.105263157894754</v>
      </c>
      <c r="AC37" s="287"/>
      <c r="AD37" s="287"/>
      <c r="AE37" s="287">
        <f>(4-$A$30)*AE30/100</f>
        <v>56.68421052631581</v>
      </c>
      <c r="AF37" s="287"/>
      <c r="AG37" s="287"/>
      <c r="AH37" s="287">
        <f>(4-$A$30)*AH30/100</f>
        <v>57.473684210526336</v>
      </c>
      <c r="AI37" s="287"/>
      <c r="AJ37" s="287"/>
      <c r="AK37" s="287">
        <f>(4-$A$30)*AK30/100</f>
        <v>66.8684210526316</v>
      </c>
      <c r="AL37" s="287"/>
      <c r="AM37" s="287"/>
      <c r="AN37" s="4"/>
      <c r="AO37" s="292">
        <f>SUM(G37:AM37)</f>
        <v>462.5723684210528</v>
      </c>
      <c r="AP37" s="292"/>
      <c r="AQ37" s="292"/>
      <c r="AR37" s="292"/>
      <c r="AS37" s="4"/>
      <c r="AT37" s="4"/>
    </row>
    <row r="38" spans="1:46" ht="12.75">
      <c r="A38" s="293" t="s">
        <v>286</v>
      </c>
      <c r="B38" s="293"/>
      <c r="C38" s="293"/>
      <c r="D38" s="293"/>
      <c r="E38" s="293"/>
      <c r="F38" s="293"/>
      <c r="G38" s="287">
        <f>G37-G40*5.25</f>
        <v>-38.64473684210526</v>
      </c>
      <c r="H38" s="287"/>
      <c r="I38" s="287"/>
      <c r="J38" s="287">
        <f>J37-J40*5.25</f>
        <v>-36.710526315789465</v>
      </c>
      <c r="K38" s="287"/>
      <c r="L38" s="287"/>
      <c r="M38" s="287">
        <f>M37-M40*5.25</f>
        <v>-34.440789473684205</v>
      </c>
      <c r="N38" s="287"/>
      <c r="O38" s="287"/>
      <c r="P38" s="287">
        <f>P37-P40*5.25</f>
        <v>-30.315789473684198</v>
      </c>
      <c r="Q38" s="287"/>
      <c r="R38" s="287"/>
      <c r="S38" s="287">
        <f>S37-S40*5.25</f>
        <v>-19.815789473684198</v>
      </c>
      <c r="T38" s="287"/>
      <c r="U38" s="287"/>
      <c r="V38" s="287">
        <f>V37-V40*5.25</f>
        <v>-11.684210526315773</v>
      </c>
      <c r="W38" s="287"/>
      <c r="X38" s="287"/>
      <c r="Y38" s="287">
        <f>Y37-Y40*5.25</f>
        <v>-11.447368421052616</v>
      </c>
      <c r="Z38" s="287"/>
      <c r="AA38" s="287"/>
      <c r="AB38" s="287">
        <f>AB37-AB40*5.25</f>
        <v>-7.894736842105246</v>
      </c>
      <c r="AC38" s="287"/>
      <c r="AD38" s="287"/>
      <c r="AE38" s="287">
        <f>AE37-AE40*5.25</f>
        <v>-6.315789473684191</v>
      </c>
      <c r="AF38" s="287"/>
      <c r="AG38" s="287"/>
      <c r="AH38" s="287">
        <f>AH37-AH40*5.25</f>
        <v>-5.526315789473664</v>
      </c>
      <c r="AI38" s="287"/>
      <c r="AJ38" s="287"/>
      <c r="AK38" s="287">
        <f>AK37-AK40*5.25</f>
        <v>3.8684210526316036</v>
      </c>
      <c r="AL38" s="287"/>
      <c r="AM38" s="287"/>
      <c r="AN38" s="4"/>
      <c r="AO38" s="292">
        <f>SUM(G38:AM38)</f>
        <v>-198.92763157894723</v>
      </c>
      <c r="AP38" s="292"/>
      <c r="AQ38" s="292"/>
      <c r="AR38" s="292"/>
      <c r="AS38" s="4"/>
      <c r="AT38" s="4"/>
    </row>
    <row r="39" spans="1:46" ht="12.75">
      <c r="A39" s="293" t="s">
        <v>287</v>
      </c>
      <c r="B39" s="293"/>
      <c r="C39" s="293"/>
      <c r="D39" s="293"/>
      <c r="E39" s="293"/>
      <c r="F39" s="293"/>
      <c r="G39" s="295">
        <f>G38+G36</f>
        <v>-254.15000000000003</v>
      </c>
      <c r="H39" s="295"/>
      <c r="I39" s="295"/>
      <c r="J39" s="295">
        <f>J38+J36</f>
        <v>-237.60000000000002</v>
      </c>
      <c r="K39" s="295"/>
      <c r="L39" s="295"/>
      <c r="M39" s="295">
        <f>M38+M36</f>
        <v>-220.32500000000005</v>
      </c>
      <c r="N39" s="295"/>
      <c r="O39" s="295"/>
      <c r="P39" s="295">
        <f>P38+P36</f>
        <v>-192.00000000000003</v>
      </c>
      <c r="Q39" s="295"/>
      <c r="R39" s="295"/>
      <c r="S39" s="295">
        <f>S38+S36</f>
        <v>-125.5</v>
      </c>
      <c r="T39" s="295"/>
      <c r="U39" s="295"/>
      <c r="V39" s="295">
        <f>V38+V36</f>
        <v>-74</v>
      </c>
      <c r="W39" s="295"/>
      <c r="X39" s="295"/>
      <c r="Y39" s="295">
        <f>Y38+Y36</f>
        <v>-43.02631578947366</v>
      </c>
      <c r="Z39" s="295"/>
      <c r="AA39" s="295"/>
      <c r="AB39" s="295">
        <f>AB38+AB36</f>
        <v>-20.526315789473664</v>
      </c>
      <c r="AC39" s="295"/>
      <c r="AD39" s="295"/>
      <c r="AE39" s="295">
        <f>AE38+AE36</f>
        <v>-10.526315789473653</v>
      </c>
      <c r="AF39" s="295"/>
      <c r="AG39" s="295"/>
      <c r="AH39" s="295">
        <f>AH38+AH36</f>
        <v>-5.526315789473654</v>
      </c>
      <c r="AI39" s="295"/>
      <c r="AJ39" s="295"/>
      <c r="AK39" s="295">
        <f>AK38+AK36</f>
        <v>36.43684210526318</v>
      </c>
      <c r="AL39" s="295"/>
      <c r="AM39" s="295"/>
      <c r="AN39" s="4"/>
      <c r="AO39" s="292">
        <f>SUM(G39:AM39)</f>
        <v>-1146.743421052632</v>
      </c>
      <c r="AP39" s="292"/>
      <c r="AQ39" s="292"/>
      <c r="AR39" s="292"/>
      <c r="AS39" s="4"/>
      <c r="AT39" s="4"/>
    </row>
    <row r="40" spans="1:46" s="42" customFormat="1" ht="12.75">
      <c r="A40" s="293" t="s">
        <v>262</v>
      </c>
      <c r="B40" s="293"/>
      <c r="C40" s="293"/>
      <c r="D40" s="293"/>
      <c r="E40" s="293"/>
      <c r="F40" s="293"/>
      <c r="G40" s="320">
        <v>9</v>
      </c>
      <c r="H40" s="320"/>
      <c r="I40" s="320"/>
      <c r="J40" s="320">
        <v>10</v>
      </c>
      <c r="K40" s="320"/>
      <c r="L40" s="320"/>
      <c r="M40" s="320">
        <v>11</v>
      </c>
      <c r="N40" s="320"/>
      <c r="O40" s="320"/>
      <c r="P40" s="320">
        <v>12</v>
      </c>
      <c r="Q40" s="320"/>
      <c r="R40" s="320"/>
      <c r="S40" s="320">
        <v>12</v>
      </c>
      <c r="T40" s="320"/>
      <c r="U40" s="320"/>
      <c r="V40" s="320">
        <v>12</v>
      </c>
      <c r="W40" s="320"/>
      <c r="X40" s="320"/>
      <c r="Y40" s="320">
        <v>12</v>
      </c>
      <c r="Z40" s="320"/>
      <c r="AA40" s="320"/>
      <c r="AB40" s="320">
        <v>12</v>
      </c>
      <c r="AC40" s="320"/>
      <c r="AD40" s="320"/>
      <c r="AE40" s="320">
        <v>12</v>
      </c>
      <c r="AF40" s="320"/>
      <c r="AG40" s="320"/>
      <c r="AH40" s="320">
        <v>12</v>
      </c>
      <c r="AI40" s="320"/>
      <c r="AJ40" s="320"/>
      <c r="AK40" s="320">
        <v>12</v>
      </c>
      <c r="AL40" s="320"/>
      <c r="AM40" s="320"/>
      <c r="AN40" s="65"/>
      <c r="AO40" s="321">
        <f>SUM(G40:AM40)</f>
        <v>126</v>
      </c>
      <c r="AP40" s="321"/>
      <c r="AQ40" s="321"/>
      <c r="AR40" s="321"/>
      <c r="AS40" s="66"/>
      <c r="AT40" s="66"/>
    </row>
    <row r="41" spans="1:46" ht="12.75">
      <c r="A41" s="314" t="s">
        <v>236</v>
      </c>
      <c r="B41" s="314"/>
      <c r="C41" s="314"/>
      <c r="D41" s="314"/>
      <c r="E41" s="314"/>
      <c r="F41" s="314"/>
      <c r="I41" s="291" t="s">
        <v>153</v>
      </c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317">
        <v>1</v>
      </c>
      <c r="U41" s="317"/>
      <c r="W41" s="291" t="s">
        <v>125</v>
      </c>
      <c r="X41" s="291"/>
      <c r="Y41" s="291"/>
      <c r="Z41" s="291"/>
      <c r="AA41" s="318">
        <v>1</v>
      </c>
      <c r="AB41" s="31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4" ht="12.75" customHeight="1">
      <c r="A42" s="8"/>
      <c r="B42" s="8"/>
      <c r="C42" s="8"/>
      <c r="D42" s="8"/>
      <c r="E42" s="8"/>
      <c r="F42" s="8"/>
      <c r="G42" s="301" t="s">
        <v>11</v>
      </c>
      <c r="H42" s="301"/>
      <c r="I42" s="301"/>
      <c r="J42" s="301" t="s">
        <v>12</v>
      </c>
      <c r="K42" s="301"/>
      <c r="L42" s="301"/>
      <c r="M42" s="301" t="s">
        <v>13</v>
      </c>
      <c r="N42" s="301"/>
      <c r="O42" s="301"/>
      <c r="P42" s="301" t="s">
        <v>14</v>
      </c>
      <c r="Q42" s="301"/>
      <c r="R42" s="301"/>
      <c r="S42" s="301" t="s">
        <v>15</v>
      </c>
      <c r="T42" s="301"/>
      <c r="U42" s="301"/>
      <c r="V42" s="301" t="s">
        <v>16</v>
      </c>
      <c r="W42" s="301"/>
      <c r="X42" s="301"/>
      <c r="Y42" s="301" t="s">
        <v>17</v>
      </c>
      <c r="Z42" s="301"/>
      <c r="AA42" s="301"/>
      <c r="AB42" s="301" t="s">
        <v>18</v>
      </c>
      <c r="AC42" s="301"/>
      <c r="AD42" s="301"/>
      <c r="AE42" s="301" t="s">
        <v>19</v>
      </c>
      <c r="AF42" s="301"/>
      <c r="AG42" s="301"/>
      <c r="AH42" s="301" t="s">
        <v>20</v>
      </c>
      <c r="AI42" s="301"/>
      <c r="AJ42" s="301"/>
      <c r="AK42" s="301" t="s">
        <v>21</v>
      </c>
      <c r="AL42" s="301"/>
      <c r="AM42" s="301"/>
      <c r="AN42" s="7"/>
      <c r="AO42" s="301" t="s">
        <v>22</v>
      </c>
      <c r="AP42" s="301"/>
      <c r="AQ42" s="301"/>
      <c r="AR42" s="301"/>
    </row>
    <row r="43" spans="1:44" ht="12.75">
      <c r="A43" s="316" t="s">
        <v>126</v>
      </c>
      <c r="B43" s="316"/>
      <c r="C43" s="316"/>
      <c r="D43" s="316"/>
      <c r="E43" s="316"/>
      <c r="F43" s="316"/>
      <c r="G43" s="292">
        <f>G30*$AA$41</f>
        <v>2180</v>
      </c>
      <c r="H43" s="292"/>
      <c r="I43" s="292"/>
      <c r="J43" s="292">
        <f>J30*$AA$41</f>
        <v>4000</v>
      </c>
      <c r="K43" s="292"/>
      <c r="L43" s="292"/>
      <c r="M43" s="292">
        <f>M30*$AA$41</f>
        <v>5905</v>
      </c>
      <c r="N43" s="292"/>
      <c r="O43" s="292"/>
      <c r="P43" s="292">
        <f>P30*$AA$41</f>
        <v>8280</v>
      </c>
      <c r="Q43" s="292"/>
      <c r="R43" s="292"/>
      <c r="S43" s="292">
        <f>S30*$AA$41</f>
        <v>10940</v>
      </c>
      <c r="T43" s="292"/>
      <c r="U43" s="292"/>
      <c r="V43" s="292">
        <f>V30*$AA$41</f>
        <v>13000</v>
      </c>
      <c r="W43" s="292"/>
      <c r="X43" s="292"/>
      <c r="Y43" s="292">
        <f>Y30*$AA$41</f>
        <v>13060</v>
      </c>
      <c r="Z43" s="292"/>
      <c r="AA43" s="292"/>
      <c r="AB43" s="292">
        <f>AB30*$AA$41</f>
        <v>13960</v>
      </c>
      <c r="AC43" s="292"/>
      <c r="AD43" s="292"/>
      <c r="AE43" s="292">
        <f>AE30*$AA$41</f>
        <v>14360</v>
      </c>
      <c r="AF43" s="292"/>
      <c r="AG43" s="292"/>
      <c r="AH43" s="292">
        <f>AH30*$AA$41</f>
        <v>14560</v>
      </c>
      <c r="AI43" s="292"/>
      <c r="AJ43" s="292"/>
      <c r="AK43" s="292">
        <f>AK30*$AA$41</f>
        <v>16940</v>
      </c>
      <c r="AL43" s="292"/>
      <c r="AM43" s="292"/>
      <c r="AO43" s="287">
        <f aca="true" t="shared" si="14" ref="AO43:AO49">SUM(G43:AM43)</f>
        <v>117185</v>
      </c>
      <c r="AP43" s="294"/>
      <c r="AQ43" s="294"/>
      <c r="AR43" s="294"/>
    </row>
    <row r="44" spans="1:44" ht="12.75">
      <c r="A44" s="291" t="s">
        <v>127</v>
      </c>
      <c r="B44" s="291"/>
      <c r="C44" s="291"/>
      <c r="D44" s="291"/>
      <c r="E44" s="291"/>
      <c r="F44" s="291"/>
      <c r="G44" s="292">
        <f>G30*$T$41</f>
        <v>2180</v>
      </c>
      <c r="H44" s="292"/>
      <c r="I44" s="292"/>
      <c r="J44" s="292">
        <f>J30*$T$41</f>
        <v>4000</v>
      </c>
      <c r="K44" s="292"/>
      <c r="L44" s="292"/>
      <c r="M44" s="292">
        <f>M30*$T$41</f>
        <v>5905</v>
      </c>
      <c r="N44" s="292"/>
      <c r="O44" s="292"/>
      <c r="P44" s="292">
        <f>P30*$T$41</f>
        <v>8280</v>
      </c>
      <c r="Q44" s="292"/>
      <c r="R44" s="292"/>
      <c r="S44" s="292">
        <f>S30*$T$41</f>
        <v>10940</v>
      </c>
      <c r="T44" s="292"/>
      <c r="U44" s="292"/>
      <c r="V44" s="292">
        <f>V30*$T$41</f>
        <v>13000</v>
      </c>
      <c r="W44" s="292"/>
      <c r="X44" s="292"/>
      <c r="Y44" s="292">
        <f>Y30*$T$41</f>
        <v>13060</v>
      </c>
      <c r="Z44" s="292"/>
      <c r="AA44" s="292"/>
      <c r="AB44" s="292">
        <f>AB30*$T$41</f>
        <v>13960</v>
      </c>
      <c r="AC44" s="292"/>
      <c r="AD44" s="292"/>
      <c r="AE44" s="292">
        <f>AE30*$T$41</f>
        <v>14360</v>
      </c>
      <c r="AF44" s="292"/>
      <c r="AG44" s="292"/>
      <c r="AH44" s="292">
        <f>AH30*$T$41</f>
        <v>14560</v>
      </c>
      <c r="AI44" s="292"/>
      <c r="AJ44" s="292"/>
      <c r="AK44" s="292">
        <f>AK30*$T$41</f>
        <v>16940</v>
      </c>
      <c r="AL44" s="292"/>
      <c r="AM44" s="292"/>
      <c r="AO44" s="287">
        <f t="shared" si="14"/>
        <v>117185</v>
      </c>
      <c r="AP44" s="294"/>
      <c r="AQ44" s="294"/>
      <c r="AR44" s="294"/>
    </row>
    <row r="45" spans="1:44" ht="12.75">
      <c r="A45" s="291" t="s">
        <v>25</v>
      </c>
      <c r="B45" s="291"/>
      <c r="C45" s="291"/>
      <c r="D45" s="291"/>
      <c r="E45" s="291"/>
      <c r="F45" s="291"/>
      <c r="G45" s="287">
        <f>'ЦФУ Закупка'!$W20</f>
        <v>50</v>
      </c>
      <c r="H45" s="287"/>
      <c r="I45" s="287"/>
      <c r="J45" s="287">
        <f>'ЦФУ Закупка'!$W34</f>
        <v>50</v>
      </c>
      <c r="K45" s="287"/>
      <c r="L45" s="287"/>
      <c r="M45" s="287">
        <f>'ЦФУ Закупка'!$W48</f>
        <v>50</v>
      </c>
      <c r="N45" s="287"/>
      <c r="O45" s="287"/>
      <c r="P45" s="287">
        <f>'ЦФУ Закупка'!$W62</f>
        <v>50</v>
      </c>
      <c r="Q45" s="287"/>
      <c r="R45" s="287"/>
      <c r="S45" s="287">
        <f>'ЦФУ Закупка'!$W76</f>
        <v>50</v>
      </c>
      <c r="T45" s="287"/>
      <c r="U45" s="287"/>
      <c r="V45" s="287">
        <f>'ЦФУ Закупка'!$W90</f>
        <v>51.5</v>
      </c>
      <c r="W45" s="287"/>
      <c r="X45" s="287"/>
      <c r="Y45" s="287">
        <f>'ЦФУ Закупка'!$W104</f>
        <v>51.71</v>
      </c>
      <c r="Z45" s="287"/>
      <c r="AA45" s="287"/>
      <c r="AB45" s="287">
        <f>'ЦФУ Закупка'!$W118</f>
        <v>54.86</v>
      </c>
      <c r="AC45" s="287"/>
      <c r="AD45" s="287"/>
      <c r="AE45" s="287">
        <f>'ЦФУ Закупка'!$W132</f>
        <v>55</v>
      </c>
      <c r="AF45" s="287"/>
      <c r="AG45" s="287"/>
      <c r="AH45" s="287">
        <f>'ЦФУ Закупка'!$W146</f>
        <v>55</v>
      </c>
      <c r="AI45" s="287"/>
      <c r="AJ45" s="287"/>
      <c r="AK45" s="287">
        <f>'ЦФУ Закупка'!$W160</f>
        <v>55.480000000000004</v>
      </c>
      <c r="AL45" s="287"/>
      <c r="AM45" s="287"/>
      <c r="AO45" s="292">
        <f t="shared" si="14"/>
        <v>573.55</v>
      </c>
      <c r="AP45" s="294"/>
      <c r="AQ45" s="294"/>
      <c r="AR45" s="294"/>
    </row>
    <row r="46" spans="1:44" ht="12.75">
      <c r="A46" s="291" t="s">
        <v>77</v>
      </c>
      <c r="B46" s="291"/>
      <c r="C46" s="291"/>
      <c r="D46" s="291"/>
      <c r="E46" s="291"/>
      <c r="F46" s="291"/>
      <c r="G46" s="287">
        <f>'ЦФУ Закупка'!$W14</f>
        <v>33.8</v>
      </c>
      <c r="H46" s="287"/>
      <c r="I46" s="287"/>
      <c r="J46" s="287">
        <f>'ЦФУ Закупка'!$W28</f>
        <v>33.8</v>
      </c>
      <c r="K46" s="287"/>
      <c r="L46" s="287"/>
      <c r="M46" s="287">
        <f>'ЦФУ Закупка'!$W42</f>
        <v>33.8</v>
      </c>
      <c r="N46" s="287"/>
      <c r="O46" s="287"/>
      <c r="P46" s="287">
        <f>'ЦФУ Закупка'!$W56</f>
        <v>33.8</v>
      </c>
      <c r="Q46" s="287"/>
      <c r="R46" s="287"/>
      <c r="S46" s="287">
        <f>'ЦФУ Закупка'!$W70</f>
        <v>33.8</v>
      </c>
      <c r="T46" s="287"/>
      <c r="U46" s="287"/>
      <c r="V46" s="287">
        <f>'ЦФУ Закупка'!$W84</f>
        <v>33.8</v>
      </c>
      <c r="W46" s="287"/>
      <c r="X46" s="287"/>
      <c r="Y46" s="287">
        <f>'ЦФУ Закупка'!$W98</f>
        <v>33.8</v>
      </c>
      <c r="Z46" s="287"/>
      <c r="AA46" s="287"/>
      <c r="AB46" s="287">
        <f>'ЦФУ Закупка'!$W112</f>
        <v>33.8</v>
      </c>
      <c r="AC46" s="287"/>
      <c r="AD46" s="287"/>
      <c r="AE46" s="287">
        <f>'ЦФУ Закупка'!$W126</f>
        <v>33.8</v>
      </c>
      <c r="AF46" s="287"/>
      <c r="AG46" s="287"/>
      <c r="AH46" s="287">
        <f>'ЦФУ Закупка'!$W140</f>
        <v>33.8</v>
      </c>
      <c r="AI46" s="287"/>
      <c r="AJ46" s="287"/>
      <c r="AK46" s="287">
        <f>'ЦФУ Закупка'!$W154</f>
        <v>33.8</v>
      </c>
      <c r="AL46" s="287"/>
      <c r="AM46" s="287"/>
      <c r="AO46" s="292">
        <f t="shared" si="14"/>
        <v>371.80000000000007</v>
      </c>
      <c r="AP46" s="294"/>
      <c r="AQ46" s="294"/>
      <c r="AR46" s="294"/>
    </row>
    <row r="47" spans="1:44" ht="12.75">
      <c r="A47" s="293" t="s">
        <v>78</v>
      </c>
      <c r="B47" s="293"/>
      <c r="C47" s="293"/>
      <c r="D47" s="293"/>
      <c r="E47" s="293"/>
      <c r="F47" s="293"/>
      <c r="G47" s="287">
        <f>G45+G46</f>
        <v>83.8</v>
      </c>
      <c r="H47" s="287"/>
      <c r="I47" s="287"/>
      <c r="J47" s="287">
        <f>J45+J46</f>
        <v>83.8</v>
      </c>
      <c r="K47" s="287"/>
      <c r="L47" s="287"/>
      <c r="M47" s="287">
        <f>M45+M46</f>
        <v>83.8</v>
      </c>
      <c r="N47" s="287"/>
      <c r="O47" s="287"/>
      <c r="P47" s="287">
        <f>P45+P46</f>
        <v>83.8</v>
      </c>
      <c r="Q47" s="287"/>
      <c r="R47" s="287"/>
      <c r="S47" s="287">
        <f>S45+S46</f>
        <v>83.8</v>
      </c>
      <c r="T47" s="287"/>
      <c r="U47" s="287"/>
      <c r="V47" s="287">
        <f>V45+V46</f>
        <v>85.3</v>
      </c>
      <c r="W47" s="287"/>
      <c r="X47" s="287"/>
      <c r="Y47" s="287">
        <f>Y45+Y46</f>
        <v>85.50999999999999</v>
      </c>
      <c r="Z47" s="287"/>
      <c r="AA47" s="287"/>
      <c r="AB47" s="287">
        <f>AB45+AB46</f>
        <v>88.66</v>
      </c>
      <c r="AC47" s="287"/>
      <c r="AD47" s="287"/>
      <c r="AE47" s="287">
        <f>AE45+AE46</f>
        <v>88.8</v>
      </c>
      <c r="AF47" s="287"/>
      <c r="AG47" s="287"/>
      <c r="AH47" s="287">
        <f>AH45+AH46</f>
        <v>88.8</v>
      </c>
      <c r="AI47" s="287"/>
      <c r="AJ47" s="287"/>
      <c r="AK47" s="287">
        <f>AK45+AK46</f>
        <v>89.28</v>
      </c>
      <c r="AL47" s="287"/>
      <c r="AM47" s="287"/>
      <c r="AO47" s="292">
        <f t="shared" si="14"/>
        <v>945.3499999999998</v>
      </c>
      <c r="AP47" s="294"/>
      <c r="AQ47" s="294"/>
      <c r="AR47" s="294"/>
    </row>
    <row r="48" spans="1:44" ht="12.75">
      <c r="A48" s="291" t="s">
        <v>168</v>
      </c>
      <c r="B48" s="291"/>
      <c r="C48" s="291"/>
      <c r="D48" s="291"/>
      <c r="E48" s="291"/>
      <c r="F48" s="291"/>
      <c r="G48" s="287">
        <f>'ЦФУ Закупка'!$AG9</f>
        <v>66.36</v>
      </c>
      <c r="H48" s="287"/>
      <c r="I48" s="287"/>
      <c r="J48" s="287">
        <f>'ЦФУ Закупка'!$AG23</f>
        <v>53.56</v>
      </c>
      <c r="K48" s="287"/>
      <c r="L48" s="287"/>
      <c r="M48" s="287">
        <f>'ЦФУ Закупка'!$AG37</f>
        <v>36.76</v>
      </c>
      <c r="N48" s="287"/>
      <c r="O48" s="287"/>
      <c r="P48" s="287">
        <f>'ЦФУ Закупка'!$AG51</f>
        <v>17.56</v>
      </c>
      <c r="Q48" s="287"/>
      <c r="R48" s="287"/>
      <c r="S48" s="287">
        <f>'ЦФУ Закупка'!$AG65</f>
        <v>0</v>
      </c>
      <c r="T48" s="287"/>
      <c r="U48" s="287"/>
      <c r="V48" s="287">
        <f>'ЦФУ Закупка'!$AG79</f>
        <v>0</v>
      </c>
      <c r="W48" s="287"/>
      <c r="X48" s="287"/>
      <c r="Y48" s="287">
        <f>'ЦФУ Закупка'!$AG93</f>
        <v>0</v>
      </c>
      <c r="Z48" s="287"/>
      <c r="AA48" s="287"/>
      <c r="AB48" s="287">
        <f>'ЦФУ Закупка'!$AG107</f>
        <v>0</v>
      </c>
      <c r="AC48" s="287"/>
      <c r="AD48" s="287"/>
      <c r="AE48" s="287">
        <f>'ЦФУ Закупка'!$AG121</f>
        <v>0</v>
      </c>
      <c r="AF48" s="287"/>
      <c r="AG48" s="287"/>
      <c r="AH48" s="287">
        <f>'ЦФУ Закупка'!$AG135</f>
        <v>0</v>
      </c>
      <c r="AI48" s="287"/>
      <c r="AJ48" s="287"/>
      <c r="AK48" s="287">
        <f>'ЦФУ Закупка'!$AG149</f>
        <v>0</v>
      </c>
      <c r="AL48" s="287"/>
      <c r="AM48" s="287"/>
      <c r="AO48" s="292">
        <f t="shared" si="14"/>
        <v>174.24</v>
      </c>
      <c r="AP48" s="294"/>
      <c r="AQ48" s="294"/>
      <c r="AR48" s="294"/>
    </row>
    <row r="49" spans="1:44" ht="12.75">
      <c r="A49" s="293" t="s">
        <v>224</v>
      </c>
      <c r="B49" s="293"/>
      <c r="C49" s="293"/>
      <c r="D49" s="293"/>
      <c r="E49" s="293"/>
      <c r="F49" s="293"/>
      <c r="G49" s="287">
        <f>'ЦФУ Закупка'!$AG11</f>
        <v>-68.976</v>
      </c>
      <c r="H49" s="287"/>
      <c r="I49" s="287"/>
      <c r="J49" s="287">
        <f>'ЦФУ Закупка'!$AG25</f>
        <v>-58.096</v>
      </c>
      <c r="K49" s="287"/>
      <c r="L49" s="287"/>
      <c r="M49" s="287">
        <f>'ЦФУ Закупка'!$AG39</f>
        <v>-43.815999999999995</v>
      </c>
      <c r="N49" s="287"/>
      <c r="O49" s="287"/>
      <c r="P49" s="287">
        <f>'ЦФУ Закупка'!$AG53</f>
        <v>-27.496000000000002</v>
      </c>
      <c r="Q49" s="287"/>
      <c r="R49" s="287"/>
      <c r="S49" s="287">
        <f>'ЦФУ Закупка'!$AG67</f>
        <v>-10.895999999999997</v>
      </c>
      <c r="T49" s="287"/>
      <c r="U49" s="287"/>
      <c r="V49" s="287">
        <f>'ЦФУ Закупка'!$AG81</f>
        <v>-4.379999999999999</v>
      </c>
      <c r="W49" s="287"/>
      <c r="X49" s="287"/>
      <c r="Y49" s="287">
        <f>'ЦФУ Закупка'!$AG95</f>
        <v>-4.290000000000003</v>
      </c>
      <c r="Z49" s="287"/>
      <c r="AA49" s="287"/>
      <c r="AB49" s="287">
        <f>'ЦФУ Закупка'!$AG109</f>
        <v>-2.9400000000000035</v>
      </c>
      <c r="AC49" s="287"/>
      <c r="AD49" s="287"/>
      <c r="AE49" s="287">
        <f>'ЦФУ Закупка'!$AG123</f>
        <v>-1.5839999999999983</v>
      </c>
      <c r="AF49" s="287"/>
      <c r="AG49" s="287"/>
      <c r="AH49" s="287">
        <f>'ЦФУ Закупка'!$AG137</f>
        <v>-0.8639999999999987</v>
      </c>
      <c r="AI49" s="287"/>
      <c r="AJ49" s="287"/>
      <c r="AK49" s="287">
        <f>'ЦФУ Закупка'!$AG151</f>
        <v>-1.1519999999999988</v>
      </c>
      <c r="AL49" s="287"/>
      <c r="AM49" s="287"/>
      <c r="AO49" s="292">
        <f t="shared" si="14"/>
        <v>-224.48999999999998</v>
      </c>
      <c r="AP49" s="294"/>
      <c r="AQ49" s="294"/>
      <c r="AR49" s="294"/>
    </row>
    <row r="50" spans="1:46" ht="12.75">
      <c r="A50" s="314" t="s">
        <v>131</v>
      </c>
      <c r="B50" s="314"/>
      <c r="C50" s="314"/>
      <c r="D50" s="314"/>
      <c r="E50" s="314"/>
      <c r="F50" s="314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7"/>
      <c r="U50" s="307"/>
      <c r="V50" s="7"/>
      <c r="W50" s="301"/>
      <c r="X50" s="301"/>
      <c r="Y50" s="301"/>
      <c r="Z50" s="301"/>
      <c r="AA50" s="288"/>
      <c r="AB50" s="288"/>
      <c r="AC50" s="5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4" ht="12.75" customHeight="1">
      <c r="A51" s="8"/>
      <c r="B51" s="8"/>
      <c r="C51" s="8"/>
      <c r="D51" s="8"/>
      <c r="E51" s="8"/>
      <c r="F51" s="8"/>
      <c r="G51" s="301" t="s">
        <v>11</v>
      </c>
      <c r="H51" s="301"/>
      <c r="I51" s="301"/>
      <c r="J51" s="301" t="s">
        <v>12</v>
      </c>
      <c r="K51" s="301"/>
      <c r="L51" s="301"/>
      <c r="M51" s="301" t="s">
        <v>13</v>
      </c>
      <c r="N51" s="301"/>
      <c r="O51" s="301"/>
      <c r="P51" s="301" t="s">
        <v>14</v>
      </c>
      <c r="Q51" s="301"/>
      <c r="R51" s="301"/>
      <c r="S51" s="301" t="s">
        <v>15</v>
      </c>
      <c r="T51" s="301"/>
      <c r="U51" s="301"/>
      <c r="V51" s="301" t="s">
        <v>16</v>
      </c>
      <c r="W51" s="301"/>
      <c r="X51" s="301"/>
      <c r="Y51" s="301" t="s">
        <v>17</v>
      </c>
      <c r="Z51" s="301"/>
      <c r="AA51" s="301"/>
      <c r="AB51" s="301" t="s">
        <v>18</v>
      </c>
      <c r="AC51" s="301"/>
      <c r="AD51" s="301"/>
      <c r="AE51" s="301" t="s">
        <v>19</v>
      </c>
      <c r="AF51" s="301"/>
      <c r="AG51" s="301"/>
      <c r="AH51" s="301" t="s">
        <v>20</v>
      </c>
      <c r="AI51" s="301"/>
      <c r="AJ51" s="301"/>
      <c r="AK51" s="301" t="s">
        <v>21</v>
      </c>
      <c r="AL51" s="301"/>
      <c r="AM51" s="301"/>
      <c r="AN51" s="7"/>
      <c r="AO51" s="301" t="s">
        <v>22</v>
      </c>
      <c r="AP51" s="301"/>
      <c r="AQ51" s="301"/>
      <c r="AR51" s="301"/>
    </row>
    <row r="52" spans="1:44" ht="12.75">
      <c r="A52" s="291" t="s">
        <v>127</v>
      </c>
      <c r="B52" s="291"/>
      <c r="C52" s="291"/>
      <c r="D52" s="291"/>
      <c r="E52" s="291"/>
      <c r="F52" s="291"/>
      <c r="G52" s="292">
        <f>G44</f>
        <v>2180</v>
      </c>
      <c r="H52" s="292"/>
      <c r="I52" s="292"/>
      <c r="J52" s="292">
        <f>J44</f>
        <v>4000</v>
      </c>
      <c r="K52" s="292"/>
      <c r="L52" s="292"/>
      <c r="M52" s="292">
        <f>M44</f>
        <v>5905</v>
      </c>
      <c r="N52" s="292"/>
      <c r="O52" s="292"/>
      <c r="P52" s="292">
        <f>P44</f>
        <v>8280</v>
      </c>
      <c r="Q52" s="292"/>
      <c r="R52" s="292"/>
      <c r="S52" s="292">
        <f>S44</f>
        <v>10940</v>
      </c>
      <c r="T52" s="292"/>
      <c r="U52" s="292"/>
      <c r="V52" s="292">
        <f>V44</f>
        <v>13000</v>
      </c>
      <c r="W52" s="292"/>
      <c r="X52" s="292"/>
      <c r="Y52" s="292">
        <f>Y44</f>
        <v>13060</v>
      </c>
      <c r="Z52" s="292"/>
      <c r="AA52" s="292"/>
      <c r="AB52" s="292">
        <f>AB44</f>
        <v>13960</v>
      </c>
      <c r="AC52" s="292"/>
      <c r="AD52" s="292"/>
      <c r="AE52" s="292">
        <f>AE44</f>
        <v>14360</v>
      </c>
      <c r="AF52" s="292"/>
      <c r="AG52" s="292"/>
      <c r="AH52" s="292">
        <f>AH44</f>
        <v>14560</v>
      </c>
      <c r="AI52" s="292"/>
      <c r="AJ52" s="292"/>
      <c r="AK52" s="292">
        <f>AK44</f>
        <v>16940</v>
      </c>
      <c r="AL52" s="292"/>
      <c r="AM52" s="292"/>
      <c r="AO52" s="287">
        <f aca="true" t="shared" si="15" ref="AO52:AO57">SUM(G52:AM52)</f>
        <v>117185</v>
      </c>
      <c r="AP52" s="294"/>
      <c r="AQ52" s="294"/>
      <c r="AR52" s="294"/>
    </row>
    <row r="53" spans="1:44" ht="12.75">
      <c r="A53" s="291" t="s">
        <v>25</v>
      </c>
      <c r="B53" s="291"/>
      <c r="C53" s="291"/>
      <c r="D53" s="291"/>
      <c r="E53" s="291"/>
      <c r="F53" s="291"/>
      <c r="G53" s="287">
        <f>'ЦФУ Доставка'!$W19</f>
        <v>40</v>
      </c>
      <c r="H53" s="287"/>
      <c r="I53" s="287"/>
      <c r="J53" s="287">
        <f>'ЦФУ Доставка'!$W32</f>
        <v>40</v>
      </c>
      <c r="K53" s="287"/>
      <c r="L53" s="287"/>
      <c r="M53" s="287">
        <f>'ЦФУ Доставка'!$W45</f>
        <v>40</v>
      </c>
      <c r="N53" s="287"/>
      <c r="O53" s="287"/>
      <c r="P53" s="287">
        <f>'ЦФУ Доставка'!$W58</f>
        <v>40</v>
      </c>
      <c r="Q53" s="287"/>
      <c r="R53" s="287"/>
      <c r="S53" s="287">
        <f>'ЦФУ Доставка'!$W71</f>
        <v>43.620000000000005</v>
      </c>
      <c r="T53" s="287"/>
      <c r="U53" s="287"/>
      <c r="V53" s="287">
        <f>'ЦФУ Доставка'!$W84</f>
        <v>49.8</v>
      </c>
      <c r="W53" s="287"/>
      <c r="X53" s="287"/>
      <c r="Y53" s="287">
        <f>'ЦФУ Доставка'!$W97</f>
        <v>49.98</v>
      </c>
      <c r="Z53" s="287"/>
      <c r="AA53" s="287"/>
      <c r="AB53" s="287">
        <f>'ЦФУ Доставка'!$W110</f>
        <v>53.80799999999999</v>
      </c>
      <c r="AC53" s="287"/>
      <c r="AD53" s="287"/>
      <c r="AE53" s="287">
        <f>'ЦФУ Доставка'!$W123</f>
        <v>55.727999999999994</v>
      </c>
      <c r="AF53" s="287"/>
      <c r="AG53" s="287"/>
      <c r="AH53" s="287">
        <f>'ЦФУ Доставка'!$W136</f>
        <v>56.687999999999995</v>
      </c>
      <c r="AI53" s="287"/>
      <c r="AJ53" s="287"/>
      <c r="AK53" s="287">
        <f>'ЦФУ Доставка'!$W149</f>
        <v>56.687999999999995</v>
      </c>
      <c r="AL53" s="287"/>
      <c r="AM53" s="287"/>
      <c r="AO53" s="292">
        <f t="shared" si="15"/>
        <v>526.312</v>
      </c>
      <c r="AP53" s="294"/>
      <c r="AQ53" s="294"/>
      <c r="AR53" s="294"/>
    </row>
    <row r="54" spans="1:44" ht="12.75">
      <c r="A54" s="291" t="s">
        <v>77</v>
      </c>
      <c r="B54" s="291"/>
      <c r="C54" s="291"/>
      <c r="D54" s="291"/>
      <c r="E54" s="291"/>
      <c r="F54" s="291"/>
      <c r="G54" s="287">
        <f>'ЦФУ Доставка'!$W13</f>
        <v>33</v>
      </c>
      <c r="H54" s="287"/>
      <c r="I54" s="287"/>
      <c r="J54" s="287">
        <f>'ЦФУ Доставка'!$W26</f>
        <v>33</v>
      </c>
      <c r="K54" s="287"/>
      <c r="L54" s="287"/>
      <c r="M54" s="287">
        <f>'ЦФУ Доставка'!$W39</f>
        <v>33</v>
      </c>
      <c r="N54" s="287"/>
      <c r="O54" s="287"/>
      <c r="P54" s="287">
        <f>'ЦФУ Доставка'!$W52</f>
        <v>33</v>
      </c>
      <c r="Q54" s="287"/>
      <c r="R54" s="287"/>
      <c r="S54" s="287">
        <f>'ЦФУ Доставка'!$W65</f>
        <v>33</v>
      </c>
      <c r="T54" s="287"/>
      <c r="U54" s="287"/>
      <c r="V54" s="287">
        <f>'ЦФУ Доставка'!$W78</f>
        <v>33</v>
      </c>
      <c r="W54" s="287"/>
      <c r="X54" s="287"/>
      <c r="Y54" s="287">
        <f>'ЦФУ Доставка'!$W91</f>
        <v>33</v>
      </c>
      <c r="Z54" s="287"/>
      <c r="AA54" s="287"/>
      <c r="AB54" s="287">
        <f>'ЦФУ Доставка'!$W104</f>
        <v>33</v>
      </c>
      <c r="AC54" s="287"/>
      <c r="AD54" s="287"/>
      <c r="AE54" s="287">
        <f>'ЦФУ Доставка'!$W117</f>
        <v>33</v>
      </c>
      <c r="AF54" s="287"/>
      <c r="AG54" s="287"/>
      <c r="AH54" s="287">
        <f>'ЦФУ Доставка'!$W130</f>
        <v>33</v>
      </c>
      <c r="AI54" s="287"/>
      <c r="AJ54" s="287"/>
      <c r="AK54" s="287">
        <f>'ЦФУ Доставка'!$W143</f>
        <v>33</v>
      </c>
      <c r="AL54" s="287"/>
      <c r="AM54" s="287"/>
      <c r="AO54" s="292">
        <f t="shared" si="15"/>
        <v>363</v>
      </c>
      <c r="AP54" s="294"/>
      <c r="AQ54" s="294"/>
      <c r="AR54" s="294"/>
    </row>
    <row r="55" spans="1:44" ht="12.75">
      <c r="A55" s="293" t="s">
        <v>78</v>
      </c>
      <c r="B55" s="293"/>
      <c r="C55" s="293"/>
      <c r="D55" s="293"/>
      <c r="E55" s="293"/>
      <c r="F55" s="293"/>
      <c r="G55" s="287">
        <f>G53+G54</f>
        <v>73</v>
      </c>
      <c r="H55" s="287"/>
      <c r="I55" s="287"/>
      <c r="J55" s="287">
        <f>J53+J54</f>
        <v>73</v>
      </c>
      <c r="K55" s="287"/>
      <c r="L55" s="287"/>
      <c r="M55" s="287">
        <f>M53+M54</f>
        <v>73</v>
      </c>
      <c r="N55" s="287"/>
      <c r="O55" s="287"/>
      <c r="P55" s="287">
        <f>P53+P54</f>
        <v>73</v>
      </c>
      <c r="Q55" s="287"/>
      <c r="R55" s="287"/>
      <c r="S55" s="287">
        <f>S53+S54</f>
        <v>76.62</v>
      </c>
      <c r="T55" s="287"/>
      <c r="U55" s="287"/>
      <c r="V55" s="287">
        <f>V53+V54</f>
        <v>82.8</v>
      </c>
      <c r="W55" s="287"/>
      <c r="X55" s="287"/>
      <c r="Y55" s="287">
        <f>Y53+Y54</f>
        <v>82.97999999999999</v>
      </c>
      <c r="Z55" s="287"/>
      <c r="AA55" s="287"/>
      <c r="AB55" s="287">
        <f>AB53+AB54</f>
        <v>86.80799999999999</v>
      </c>
      <c r="AC55" s="287"/>
      <c r="AD55" s="287"/>
      <c r="AE55" s="287">
        <f>AE53+AE54</f>
        <v>88.728</v>
      </c>
      <c r="AF55" s="287"/>
      <c r="AG55" s="287"/>
      <c r="AH55" s="287">
        <f>AH53+AH54</f>
        <v>89.68799999999999</v>
      </c>
      <c r="AI55" s="287"/>
      <c r="AJ55" s="287"/>
      <c r="AK55" s="287">
        <f>AK53+AK54</f>
        <v>89.68799999999999</v>
      </c>
      <c r="AL55" s="287"/>
      <c r="AM55" s="287"/>
      <c r="AO55" s="292">
        <f t="shared" si="15"/>
        <v>889.3119999999999</v>
      </c>
      <c r="AP55" s="294"/>
      <c r="AQ55" s="294"/>
      <c r="AR55" s="294"/>
    </row>
    <row r="56" spans="1:44" ht="12.75">
      <c r="A56" s="291" t="s">
        <v>168</v>
      </c>
      <c r="B56" s="291"/>
      <c r="C56" s="291"/>
      <c r="D56" s="291"/>
      <c r="E56" s="291"/>
      <c r="F56" s="291"/>
      <c r="G56" s="287">
        <f>'ЦФУ Доставка'!$AG9</f>
        <v>56.65</v>
      </c>
      <c r="H56" s="287"/>
      <c r="I56" s="287"/>
      <c r="J56" s="287">
        <f>'ЦФУ Доставка'!$AG22</f>
        <v>44.65</v>
      </c>
      <c r="K56" s="287"/>
      <c r="L56" s="287"/>
      <c r="M56" s="287">
        <f>'ЦФУ Доставка'!$AG35</f>
        <v>28.9</v>
      </c>
      <c r="N56" s="287"/>
      <c r="O56" s="287"/>
      <c r="P56" s="287">
        <f>'ЦФУ Доставка'!$AG48</f>
        <v>10.9</v>
      </c>
      <c r="Q56" s="287"/>
      <c r="R56" s="287"/>
      <c r="S56" s="287">
        <f>'ЦФУ Доставка'!$AG61</f>
        <v>0</v>
      </c>
      <c r="T56" s="287"/>
      <c r="U56" s="287"/>
      <c r="V56" s="287">
        <f>'ЦФУ Доставка'!$AG74</f>
        <v>0</v>
      </c>
      <c r="W56" s="287"/>
      <c r="X56" s="287"/>
      <c r="Y56" s="287">
        <f>'ЦФУ Доставка'!$AG87</f>
        <v>0</v>
      </c>
      <c r="Z56" s="287"/>
      <c r="AA56" s="287"/>
      <c r="AB56" s="287">
        <f>'ЦФУ Доставка'!$AG100</f>
        <v>0</v>
      </c>
      <c r="AC56" s="287"/>
      <c r="AD56" s="287"/>
      <c r="AE56" s="287">
        <f>'ЦФУ Доставка'!$AG113</f>
        <v>0</v>
      </c>
      <c r="AF56" s="287"/>
      <c r="AG56" s="287"/>
      <c r="AH56" s="287">
        <f>'ЦФУ Доставка'!$AG126</f>
        <v>0</v>
      </c>
      <c r="AI56" s="287"/>
      <c r="AJ56" s="287"/>
      <c r="AK56" s="287">
        <f>'ЦФУ Доставка'!$AG139</f>
        <v>0</v>
      </c>
      <c r="AL56" s="287"/>
      <c r="AM56" s="287"/>
      <c r="AO56" s="292">
        <f t="shared" si="15"/>
        <v>141.1</v>
      </c>
      <c r="AP56" s="294"/>
      <c r="AQ56" s="294"/>
      <c r="AR56" s="294"/>
    </row>
    <row r="57" spans="1:44" ht="12.75">
      <c r="A57" s="293" t="s">
        <v>224</v>
      </c>
      <c r="B57" s="293"/>
      <c r="C57" s="293"/>
      <c r="D57" s="293"/>
      <c r="E57" s="293"/>
      <c r="F57" s="293"/>
      <c r="G57" s="287">
        <f>'ЦФУ Доставка'!$AG11</f>
        <v>-56.65</v>
      </c>
      <c r="H57" s="287"/>
      <c r="I57" s="287"/>
      <c r="J57" s="287">
        <f>'ЦФУ Доставка'!$AG24</f>
        <v>-44.65</v>
      </c>
      <c r="K57" s="287"/>
      <c r="L57" s="287"/>
      <c r="M57" s="287">
        <f>'ЦФУ Доставка'!$AG37</f>
        <v>-28.9</v>
      </c>
      <c r="N57" s="287"/>
      <c r="O57" s="287"/>
      <c r="P57" s="287">
        <f>'ЦФУ Доставка'!$AG50</f>
        <v>-10.9</v>
      </c>
      <c r="Q57" s="287"/>
      <c r="R57" s="287"/>
      <c r="S57" s="287">
        <f>'ЦФУ Доставка'!$AG63</f>
        <v>5.430000000000007</v>
      </c>
      <c r="T57" s="287"/>
      <c r="U57" s="287"/>
      <c r="V57" s="287">
        <f>'ЦФУ Доставка'!$AG76</f>
        <v>14.7</v>
      </c>
      <c r="W57" s="287"/>
      <c r="X57" s="287"/>
      <c r="Y57" s="287">
        <f>'ЦФУ Доставка'!$AG89</f>
        <v>14.969999999999994</v>
      </c>
      <c r="Z57" s="287"/>
      <c r="AA57" s="287"/>
      <c r="AB57" s="287">
        <f>'ЦФУ Доставка'!$AG102</f>
        <v>17.891999999999992</v>
      </c>
      <c r="AC57" s="287"/>
      <c r="AD57" s="287"/>
      <c r="AE57" s="287">
        <f>'ЦФУ Доставка'!$AG115</f>
        <v>18.971999999999994</v>
      </c>
      <c r="AF57" s="287"/>
      <c r="AG57" s="287"/>
      <c r="AH57" s="287">
        <f>'ЦФУ Доставка'!$AG128</f>
        <v>19.511999999999993</v>
      </c>
      <c r="AI57" s="287"/>
      <c r="AJ57" s="287"/>
      <c r="AK57" s="287">
        <f>'ЦФУ Доставка'!$AG141</f>
        <v>19.511999999999993</v>
      </c>
      <c r="AL57" s="287"/>
      <c r="AM57" s="287"/>
      <c r="AO57" s="292">
        <f t="shared" si="15"/>
        <v>-30.11200000000001</v>
      </c>
      <c r="AP57" s="294"/>
      <c r="AQ57" s="294"/>
      <c r="AR57" s="294"/>
    </row>
    <row r="58" spans="1:46" ht="12.75">
      <c r="A58" s="314" t="s">
        <v>9</v>
      </c>
      <c r="B58" s="314"/>
      <c r="C58" s="314"/>
      <c r="D58" s="314"/>
      <c r="E58" s="314"/>
      <c r="F58" s="314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07"/>
      <c r="U58" s="307"/>
      <c r="V58" s="7"/>
      <c r="W58" s="301"/>
      <c r="X58" s="301"/>
      <c r="Y58" s="301"/>
      <c r="Z58" s="301"/>
      <c r="AA58" s="288"/>
      <c r="AB58" s="288"/>
      <c r="AC58" s="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4" ht="12.75" customHeight="1">
      <c r="A59" s="8"/>
      <c r="B59" s="8"/>
      <c r="C59" s="8"/>
      <c r="D59" s="8"/>
      <c r="E59" s="8"/>
      <c r="F59" s="8"/>
      <c r="G59" s="301" t="s">
        <v>11</v>
      </c>
      <c r="H59" s="301"/>
      <c r="I59" s="301"/>
      <c r="J59" s="301" t="s">
        <v>12</v>
      </c>
      <c r="K59" s="301"/>
      <c r="L59" s="301"/>
      <c r="M59" s="301" t="s">
        <v>13</v>
      </c>
      <c r="N59" s="301"/>
      <c r="O59" s="301"/>
      <c r="P59" s="301" t="s">
        <v>14</v>
      </c>
      <c r="Q59" s="301"/>
      <c r="R59" s="301"/>
      <c r="S59" s="301" t="s">
        <v>15</v>
      </c>
      <c r="T59" s="301"/>
      <c r="U59" s="301"/>
      <c r="V59" s="301" t="s">
        <v>16</v>
      </c>
      <c r="W59" s="301"/>
      <c r="X59" s="301"/>
      <c r="Y59" s="301" t="s">
        <v>17</v>
      </c>
      <c r="Z59" s="301"/>
      <c r="AA59" s="301"/>
      <c r="AB59" s="301" t="s">
        <v>18</v>
      </c>
      <c r="AC59" s="301"/>
      <c r="AD59" s="301"/>
      <c r="AE59" s="301" t="s">
        <v>19</v>
      </c>
      <c r="AF59" s="301"/>
      <c r="AG59" s="301"/>
      <c r="AH59" s="301" t="s">
        <v>20</v>
      </c>
      <c r="AI59" s="301"/>
      <c r="AJ59" s="301"/>
      <c r="AK59" s="301" t="s">
        <v>21</v>
      </c>
      <c r="AL59" s="301"/>
      <c r="AM59" s="301"/>
      <c r="AN59" s="7"/>
      <c r="AO59" s="301" t="s">
        <v>22</v>
      </c>
      <c r="AP59" s="301"/>
      <c r="AQ59" s="301"/>
      <c r="AR59" s="301"/>
    </row>
    <row r="60" spans="1:46" ht="12.75">
      <c r="A60" s="291" t="s">
        <v>75</v>
      </c>
      <c r="B60" s="291"/>
      <c r="C60" s="291"/>
      <c r="D60" s="291"/>
      <c r="E60" s="291"/>
      <c r="F60" s="291"/>
      <c r="G60" s="292">
        <v>2180</v>
      </c>
      <c r="H60" s="292"/>
      <c r="I60" s="292"/>
      <c r="J60" s="292">
        <v>3780</v>
      </c>
      <c r="K60" s="292"/>
      <c r="L60" s="292"/>
      <c r="M60" s="292">
        <v>5880</v>
      </c>
      <c r="N60" s="292"/>
      <c r="O60" s="292"/>
      <c r="P60" s="292">
        <v>8280</v>
      </c>
      <c r="Q60" s="292"/>
      <c r="R60" s="292"/>
      <c r="S60" s="292">
        <v>10940</v>
      </c>
      <c r="T60" s="292"/>
      <c r="U60" s="292"/>
      <c r="V60" s="292">
        <v>13000</v>
      </c>
      <c r="W60" s="292"/>
      <c r="X60" s="292"/>
      <c r="Y60" s="292">
        <v>13060</v>
      </c>
      <c r="Z60" s="292"/>
      <c r="AA60" s="292"/>
      <c r="AB60" s="292">
        <v>13960</v>
      </c>
      <c r="AC60" s="292"/>
      <c r="AD60" s="292"/>
      <c r="AE60" s="292">
        <v>14360</v>
      </c>
      <c r="AF60" s="292"/>
      <c r="AG60" s="292"/>
      <c r="AH60" s="292">
        <v>14560</v>
      </c>
      <c r="AI60" s="292"/>
      <c r="AJ60" s="292"/>
      <c r="AK60" s="292">
        <v>14560</v>
      </c>
      <c r="AL60" s="292"/>
      <c r="AM60" s="292"/>
      <c r="AN60" s="4"/>
      <c r="AO60" s="292">
        <f aca="true" t="shared" si="16" ref="AO60:AO66">SUM(G60:AM60)</f>
        <v>114560</v>
      </c>
      <c r="AP60" s="292"/>
      <c r="AQ60" s="292"/>
      <c r="AR60" s="292"/>
      <c r="AS60" s="4"/>
      <c r="AT60" s="4"/>
    </row>
    <row r="61" spans="1:44" ht="12.75">
      <c r="A61" s="291" t="s">
        <v>25</v>
      </c>
      <c r="B61" s="291"/>
      <c r="C61" s="291"/>
      <c r="D61" s="291"/>
      <c r="E61" s="291"/>
      <c r="F61" s="291"/>
      <c r="G61" s="287">
        <f>'ЦФУ Бухгалт.'!$W19</f>
        <v>50</v>
      </c>
      <c r="H61" s="287"/>
      <c r="I61" s="287"/>
      <c r="J61" s="287">
        <f>'ЦФУ Бухгалт.'!$W32</f>
        <v>50.892</v>
      </c>
      <c r="K61" s="287"/>
      <c r="L61" s="287"/>
      <c r="M61" s="287">
        <f>'ЦФУ Бухгалт.'!$W45</f>
        <v>55.032</v>
      </c>
      <c r="N61" s="287"/>
      <c r="O61" s="287"/>
      <c r="P61" s="287">
        <f>'ЦФУ Бухгалт.'!$W58</f>
        <v>59.592</v>
      </c>
      <c r="Q61" s="287"/>
      <c r="R61" s="287"/>
      <c r="S61" s="287">
        <f>'ЦФУ Бухгалт.'!$W71</f>
        <v>63.316</v>
      </c>
      <c r="T61" s="287"/>
      <c r="U61" s="287"/>
      <c r="V61" s="287">
        <f>'ЦФУ Бухгалт.'!$W84</f>
        <v>66.2</v>
      </c>
      <c r="W61" s="287"/>
      <c r="X61" s="287"/>
      <c r="Y61" s="287">
        <f>'ЦФУ Бухгалт.'!$W97</f>
        <v>66.28399999999999</v>
      </c>
      <c r="Z61" s="287"/>
      <c r="AA61" s="287"/>
      <c r="AB61" s="287">
        <f>'ЦФУ Бухгалт.'!$W110</f>
        <v>67.544</v>
      </c>
      <c r="AC61" s="287"/>
      <c r="AD61" s="287"/>
      <c r="AE61" s="287">
        <f>'ЦФУ Бухгалт.'!$W123</f>
        <v>68.104</v>
      </c>
      <c r="AF61" s="287"/>
      <c r="AG61" s="287"/>
      <c r="AH61" s="287">
        <f>'ЦФУ Бухгалт.'!$W136</f>
        <v>68.38399999999999</v>
      </c>
      <c r="AI61" s="287"/>
      <c r="AJ61" s="287"/>
      <c r="AK61" s="287">
        <f>'ЦФУ Бухгалт.'!$W149</f>
        <v>68.38399999999999</v>
      </c>
      <c r="AL61" s="287"/>
      <c r="AM61" s="287"/>
      <c r="AO61" s="292">
        <f t="shared" si="16"/>
        <v>683.732</v>
      </c>
      <c r="AP61" s="294"/>
      <c r="AQ61" s="294"/>
      <c r="AR61" s="294"/>
    </row>
    <row r="62" spans="1:44" ht="12.75">
      <c r="A62" s="291" t="s">
        <v>77</v>
      </c>
      <c r="B62" s="291"/>
      <c r="C62" s="291"/>
      <c r="D62" s="291"/>
      <c r="E62" s="291"/>
      <c r="F62" s="291"/>
      <c r="G62" s="287">
        <f>'ЦФУ Бухгалт.'!$W13</f>
        <v>33</v>
      </c>
      <c r="H62" s="287"/>
      <c r="I62" s="287"/>
      <c r="J62" s="287">
        <f>'ЦФУ Бухгалт.'!$W26</f>
        <v>33</v>
      </c>
      <c r="K62" s="287"/>
      <c r="L62" s="287"/>
      <c r="M62" s="287">
        <f>'ЦФУ Бухгалт.'!$W39</f>
        <v>33</v>
      </c>
      <c r="N62" s="287"/>
      <c r="O62" s="287"/>
      <c r="P62" s="287">
        <f>'ЦФУ Бухгалт.'!$W52</f>
        <v>33</v>
      </c>
      <c r="Q62" s="287"/>
      <c r="R62" s="287"/>
      <c r="S62" s="287">
        <f>'ЦФУ Бухгалт.'!$W65</f>
        <v>33</v>
      </c>
      <c r="T62" s="287"/>
      <c r="U62" s="287"/>
      <c r="V62" s="287">
        <f>'ЦФУ Бухгалт.'!$W78</f>
        <v>33</v>
      </c>
      <c r="W62" s="287"/>
      <c r="X62" s="287"/>
      <c r="Y62" s="287">
        <f>'ЦФУ Бухгалт.'!$W91</f>
        <v>33</v>
      </c>
      <c r="Z62" s="287"/>
      <c r="AA62" s="287"/>
      <c r="AB62" s="287">
        <f>'ЦФУ Бухгалт.'!$W104</f>
        <v>33</v>
      </c>
      <c r="AC62" s="287"/>
      <c r="AD62" s="287"/>
      <c r="AE62" s="287">
        <f>'ЦФУ Бухгалт.'!$W117</f>
        <v>33</v>
      </c>
      <c r="AF62" s="287"/>
      <c r="AG62" s="287"/>
      <c r="AH62" s="287">
        <f>'ЦФУ Бухгалт.'!$W130</f>
        <v>33</v>
      </c>
      <c r="AI62" s="287"/>
      <c r="AJ62" s="287"/>
      <c r="AK62" s="287">
        <f>'ЦФУ Бухгалт.'!$W143</f>
        <v>33</v>
      </c>
      <c r="AL62" s="287"/>
      <c r="AM62" s="287"/>
      <c r="AO62" s="292">
        <f t="shared" si="16"/>
        <v>363</v>
      </c>
      <c r="AP62" s="294"/>
      <c r="AQ62" s="294"/>
      <c r="AR62" s="294"/>
    </row>
    <row r="63" spans="1:44" ht="12.75">
      <c r="A63" s="293" t="s">
        <v>78</v>
      </c>
      <c r="B63" s="293"/>
      <c r="C63" s="293"/>
      <c r="D63" s="293"/>
      <c r="E63" s="293"/>
      <c r="F63" s="293"/>
      <c r="G63" s="287">
        <f>G61+G62</f>
        <v>83</v>
      </c>
      <c r="H63" s="287"/>
      <c r="I63" s="287"/>
      <c r="J63" s="287">
        <f>J61+J62</f>
        <v>83.892</v>
      </c>
      <c r="K63" s="287"/>
      <c r="L63" s="287"/>
      <c r="M63" s="287">
        <f>M61+M62</f>
        <v>88.032</v>
      </c>
      <c r="N63" s="287"/>
      <c r="O63" s="287"/>
      <c r="P63" s="287">
        <f>P61+P62</f>
        <v>92.592</v>
      </c>
      <c r="Q63" s="287"/>
      <c r="R63" s="287"/>
      <c r="S63" s="287">
        <f>S61+S62</f>
        <v>96.316</v>
      </c>
      <c r="T63" s="287"/>
      <c r="U63" s="287"/>
      <c r="V63" s="287">
        <f>V61+V62</f>
        <v>99.2</v>
      </c>
      <c r="W63" s="287"/>
      <c r="X63" s="287"/>
      <c r="Y63" s="287">
        <f>Y61+Y62</f>
        <v>99.28399999999999</v>
      </c>
      <c r="Z63" s="287"/>
      <c r="AA63" s="287"/>
      <c r="AB63" s="287">
        <f>AB61+AB62</f>
        <v>100.544</v>
      </c>
      <c r="AC63" s="287"/>
      <c r="AD63" s="287"/>
      <c r="AE63" s="287">
        <f>AE61+AE62</f>
        <v>101.104</v>
      </c>
      <c r="AF63" s="287"/>
      <c r="AG63" s="287"/>
      <c r="AH63" s="287">
        <f>AH61+AH62</f>
        <v>101.38399999999999</v>
      </c>
      <c r="AI63" s="287"/>
      <c r="AJ63" s="287"/>
      <c r="AK63" s="287">
        <f>AK61+AK62</f>
        <v>101.38399999999999</v>
      </c>
      <c r="AL63" s="287"/>
      <c r="AM63" s="287"/>
      <c r="AO63" s="292">
        <f t="shared" si="16"/>
        <v>1046.732</v>
      </c>
      <c r="AP63" s="294"/>
      <c r="AQ63" s="294"/>
      <c r="AR63" s="294"/>
    </row>
    <row r="64" spans="1:44" ht="12.75">
      <c r="A64" s="306" t="s">
        <v>136</v>
      </c>
      <c r="B64" s="294"/>
      <c r="C64" s="294"/>
      <c r="D64" s="294"/>
      <c r="E64" s="294"/>
      <c r="F64" s="294"/>
      <c r="G64" s="287">
        <v>56</v>
      </c>
      <c r="H64" s="287"/>
      <c r="I64" s="287"/>
      <c r="J64" s="287">
        <v>63</v>
      </c>
      <c r="K64" s="287"/>
      <c r="L64" s="287"/>
      <c r="M64" s="287">
        <v>66.5</v>
      </c>
      <c r="N64" s="287"/>
      <c r="O64" s="287"/>
      <c r="P64" s="287">
        <v>70</v>
      </c>
      <c r="Q64" s="287"/>
      <c r="R64" s="287"/>
      <c r="S64" s="287">
        <v>70</v>
      </c>
      <c r="T64" s="287"/>
      <c r="U64" s="287"/>
      <c r="V64" s="287">
        <v>70</v>
      </c>
      <c r="W64" s="287"/>
      <c r="X64" s="287"/>
      <c r="Y64" s="287">
        <v>70</v>
      </c>
      <c r="Z64" s="287"/>
      <c r="AA64" s="287"/>
      <c r="AB64" s="287">
        <v>70</v>
      </c>
      <c r="AC64" s="287"/>
      <c r="AD64" s="287"/>
      <c r="AE64" s="287">
        <v>70</v>
      </c>
      <c r="AF64" s="287"/>
      <c r="AG64" s="287"/>
      <c r="AH64" s="287">
        <v>70</v>
      </c>
      <c r="AI64" s="287"/>
      <c r="AJ64" s="287"/>
      <c r="AK64" s="287">
        <v>70</v>
      </c>
      <c r="AL64" s="287"/>
      <c r="AM64" s="287"/>
      <c r="AO64" s="292">
        <f t="shared" si="16"/>
        <v>745.5</v>
      </c>
      <c r="AP64" s="294"/>
      <c r="AQ64" s="294"/>
      <c r="AR64" s="294"/>
    </row>
    <row r="65" spans="1:44" ht="12.75">
      <c r="A65" s="291" t="s">
        <v>76</v>
      </c>
      <c r="B65" s="291"/>
      <c r="C65" s="291"/>
      <c r="D65" s="291"/>
      <c r="E65" s="291"/>
      <c r="F65" s="291"/>
      <c r="G65" s="287">
        <f>'ЦФУ Бухгалт.'!$AG9</f>
        <v>8.55</v>
      </c>
      <c r="H65" s="287"/>
      <c r="I65" s="287"/>
      <c r="J65" s="287">
        <f>'ЦФУ Бухгалт.'!$AG22</f>
        <v>0</v>
      </c>
      <c r="K65" s="287"/>
      <c r="L65" s="287"/>
      <c r="M65" s="287">
        <f>'ЦФУ Бухгалт.'!$AG35</f>
        <v>0</v>
      </c>
      <c r="N65" s="287"/>
      <c r="O65" s="287"/>
      <c r="P65" s="287">
        <f>'ЦФУ Бухгалт.'!$AG48</f>
        <v>0</v>
      </c>
      <c r="Q65" s="287"/>
      <c r="R65" s="287"/>
      <c r="S65" s="287">
        <f>'ЦФУ Бухгалт.'!$AG61</f>
        <v>0</v>
      </c>
      <c r="T65" s="287"/>
      <c r="U65" s="287"/>
      <c r="V65" s="287">
        <f>'ЦФУ Бухгалт.'!$AG74</f>
        <v>0</v>
      </c>
      <c r="W65" s="287"/>
      <c r="X65" s="287"/>
      <c r="Y65" s="287">
        <f>'ЦФУ Бухгалт.'!$AG87</f>
        <v>0</v>
      </c>
      <c r="Z65" s="287"/>
      <c r="AA65" s="287"/>
      <c r="AB65" s="287">
        <f>'ЦФУ Бухгалт.'!$AG100</f>
        <v>0</v>
      </c>
      <c r="AC65" s="287"/>
      <c r="AD65" s="287"/>
      <c r="AE65" s="287">
        <f>'ЦФУ Бухгалт.'!$AG113</f>
        <v>0</v>
      </c>
      <c r="AF65" s="287"/>
      <c r="AG65" s="287"/>
      <c r="AH65" s="287">
        <f>'ЦФУ Бухгалт.'!$AG126</f>
        <v>0</v>
      </c>
      <c r="AI65" s="287"/>
      <c r="AJ65" s="287"/>
      <c r="AK65" s="287">
        <f>'ЦФУ Бухгалт.'!$AG139</f>
        <v>0</v>
      </c>
      <c r="AL65" s="287"/>
      <c r="AM65" s="287"/>
      <c r="AO65" s="292">
        <f t="shared" si="16"/>
        <v>8.55</v>
      </c>
      <c r="AP65" s="292"/>
      <c r="AQ65" s="292"/>
      <c r="AR65" s="292"/>
    </row>
    <row r="66" spans="1:44" ht="12.75">
      <c r="A66" s="293" t="s">
        <v>224</v>
      </c>
      <c r="B66" s="293"/>
      <c r="C66" s="293"/>
      <c r="D66" s="293"/>
      <c r="E66" s="293"/>
      <c r="F66" s="293"/>
      <c r="G66" s="287">
        <f>'ЦФУ Бухгалт.'!$AG11</f>
        <v>-9.042000000000003</v>
      </c>
      <c r="H66" s="287"/>
      <c r="I66" s="287"/>
      <c r="J66" s="287">
        <f>'ЦФУ Бухгалт.'!$AG24</f>
        <v>1.3380000000000023</v>
      </c>
      <c r="K66" s="287"/>
      <c r="L66" s="287"/>
      <c r="M66" s="287">
        <f>'ЦФУ Бухгалт.'!$AG37</f>
        <v>7.547999999999998</v>
      </c>
      <c r="N66" s="287"/>
      <c r="O66" s="287"/>
      <c r="P66" s="287">
        <f>'ЦФУ Бухгалт.'!$AG50</f>
        <v>14.387999999999995</v>
      </c>
      <c r="Q66" s="287"/>
      <c r="R66" s="287"/>
      <c r="S66" s="287">
        <f>'ЦФУ Бухгалт.'!$AG63</f>
        <v>19.973999999999997</v>
      </c>
      <c r="T66" s="287"/>
      <c r="U66" s="287"/>
      <c r="V66" s="287">
        <f>'ЦФУ Бухгалт.'!$AG76</f>
        <v>24.299999999999997</v>
      </c>
      <c r="W66" s="287"/>
      <c r="X66" s="287"/>
      <c r="Y66" s="287">
        <f>'ЦФУ Бухгалт.'!$AG89</f>
        <v>24.425999999999995</v>
      </c>
      <c r="Z66" s="287"/>
      <c r="AA66" s="287"/>
      <c r="AB66" s="287">
        <f>'ЦФУ Бухгалт.'!$AG102</f>
        <v>26.31599999999999</v>
      </c>
      <c r="AC66" s="287"/>
      <c r="AD66" s="287"/>
      <c r="AE66" s="287">
        <f>'ЦФУ Бухгалт.'!$AG115</f>
        <v>27.155999999999995</v>
      </c>
      <c r="AF66" s="287"/>
      <c r="AG66" s="287"/>
      <c r="AH66" s="287">
        <f>'ЦФУ Бухгалт.'!$AG128</f>
        <v>27.575999999999986</v>
      </c>
      <c r="AI66" s="287"/>
      <c r="AJ66" s="287"/>
      <c r="AK66" s="287">
        <f>'ЦФУ Бухгалт.'!$AG141</f>
        <v>27.575999999999986</v>
      </c>
      <c r="AL66" s="287"/>
      <c r="AM66" s="287"/>
      <c r="AO66" s="292">
        <f t="shared" si="16"/>
        <v>191.55599999999995</v>
      </c>
      <c r="AP66" s="292"/>
      <c r="AQ66" s="292"/>
      <c r="AR66" s="292"/>
    </row>
    <row r="67" spans="1:34" ht="12.75">
      <c r="A67" s="291" t="s">
        <v>348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309">
        <v>13</v>
      </c>
      <c r="AF67" s="309"/>
      <c r="AG67" s="309"/>
      <c r="AH67" s="309"/>
    </row>
    <row r="69" spans="1:44" ht="12.75">
      <c r="A69" s="308" t="s">
        <v>345</v>
      </c>
      <c r="B69" s="308"/>
      <c r="C69" s="308"/>
      <c r="D69" s="308"/>
      <c r="E69" s="308"/>
      <c r="F69" s="308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7"/>
      <c r="U69" s="307"/>
      <c r="V69" s="7"/>
      <c r="W69" s="301"/>
      <c r="X69" s="301"/>
      <c r="Y69" s="301"/>
      <c r="Z69" s="301"/>
      <c r="AA69" s="288"/>
      <c r="AB69" s="288"/>
      <c r="AC69" s="5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6" ht="12.75">
      <c r="A70" s="8"/>
      <c r="B70" s="8"/>
      <c r="C70" s="8"/>
      <c r="D70" s="8"/>
      <c r="E70" s="8"/>
      <c r="F70" s="8"/>
      <c r="G70" s="307" t="s">
        <v>11</v>
      </c>
      <c r="H70" s="307"/>
      <c r="I70" s="307"/>
      <c r="J70" s="307" t="s">
        <v>12</v>
      </c>
      <c r="K70" s="307"/>
      <c r="L70" s="307"/>
      <c r="M70" s="307" t="s">
        <v>13</v>
      </c>
      <c r="N70" s="307"/>
      <c r="O70" s="307"/>
      <c r="P70" s="307" t="s">
        <v>14</v>
      </c>
      <c r="Q70" s="307"/>
      <c r="R70" s="307"/>
      <c r="S70" s="307" t="s">
        <v>15</v>
      </c>
      <c r="T70" s="307"/>
      <c r="U70" s="307"/>
      <c r="V70" s="307" t="s">
        <v>16</v>
      </c>
      <c r="W70" s="307"/>
      <c r="X70" s="307"/>
      <c r="Y70" s="307" t="s">
        <v>17</v>
      </c>
      <c r="Z70" s="307"/>
      <c r="AA70" s="307"/>
      <c r="AB70" s="307" t="s">
        <v>18</v>
      </c>
      <c r="AC70" s="307"/>
      <c r="AD70" s="307"/>
      <c r="AE70" s="307" t="s">
        <v>19</v>
      </c>
      <c r="AF70" s="307"/>
      <c r="AG70" s="307"/>
      <c r="AH70" s="307" t="s">
        <v>20</v>
      </c>
      <c r="AI70" s="307"/>
      <c r="AJ70" s="307"/>
      <c r="AK70" s="307" t="s">
        <v>21</v>
      </c>
      <c r="AL70" s="307"/>
      <c r="AM70" s="307"/>
      <c r="AN70" s="7"/>
      <c r="AO70" s="307" t="s">
        <v>22</v>
      </c>
      <c r="AP70" s="307"/>
      <c r="AQ70" s="307"/>
      <c r="AR70" s="307"/>
      <c r="AS70" s="304" t="s">
        <v>33</v>
      </c>
      <c r="AT70" s="304"/>
    </row>
    <row r="71" spans="1:46" ht="12.75">
      <c r="A71" s="291" t="s">
        <v>137</v>
      </c>
      <c r="B71" s="291"/>
      <c r="C71" s="291"/>
      <c r="D71" s="291"/>
      <c r="E71" s="291"/>
      <c r="F71" s="291"/>
      <c r="G71" s="292">
        <f>G30</f>
        <v>2180</v>
      </c>
      <c r="H71" s="292"/>
      <c r="I71" s="292"/>
      <c r="J71" s="292">
        <f>J30</f>
        <v>4000</v>
      </c>
      <c r="K71" s="292"/>
      <c r="L71" s="292"/>
      <c r="M71" s="292">
        <f>M30</f>
        <v>5905</v>
      </c>
      <c r="N71" s="292"/>
      <c r="O71" s="292"/>
      <c r="P71" s="292">
        <f>P30</f>
        <v>8280</v>
      </c>
      <c r="Q71" s="292"/>
      <c r="R71" s="292"/>
      <c r="S71" s="292">
        <f>S30</f>
        <v>10940</v>
      </c>
      <c r="T71" s="292"/>
      <c r="U71" s="292"/>
      <c r="V71" s="292">
        <f>V30</f>
        <v>13000</v>
      </c>
      <c r="W71" s="292"/>
      <c r="X71" s="292"/>
      <c r="Y71" s="292">
        <f>Y30</f>
        <v>13060</v>
      </c>
      <c r="Z71" s="292"/>
      <c r="AA71" s="292"/>
      <c r="AB71" s="292">
        <f>AB30</f>
        <v>13960</v>
      </c>
      <c r="AC71" s="292"/>
      <c r="AD71" s="292"/>
      <c r="AE71" s="292">
        <f>AE30</f>
        <v>14360</v>
      </c>
      <c r="AF71" s="292"/>
      <c r="AG71" s="292"/>
      <c r="AH71" s="292">
        <f>AH30</f>
        <v>14560</v>
      </c>
      <c r="AI71" s="292"/>
      <c r="AJ71" s="292"/>
      <c r="AK71" s="292">
        <f>AK30</f>
        <v>16940</v>
      </c>
      <c r="AL71" s="292"/>
      <c r="AM71" s="292"/>
      <c r="AO71" s="305">
        <f aca="true" t="shared" si="17" ref="AO71:AO79">SUM(G71:AM71)</f>
        <v>117185</v>
      </c>
      <c r="AP71" s="305"/>
      <c r="AQ71" s="305"/>
      <c r="AR71" s="305"/>
      <c r="AS71" s="303">
        <f>AO71/$AO$71*100</f>
        <v>100</v>
      </c>
      <c r="AT71" s="303"/>
    </row>
    <row r="72" spans="1:46" ht="12.75">
      <c r="A72" s="291" t="s">
        <v>25</v>
      </c>
      <c r="B72" s="291"/>
      <c r="C72" s="291"/>
      <c r="D72" s="291"/>
      <c r="E72" s="291"/>
      <c r="F72" s="291"/>
      <c r="G72" s="287">
        <f>G45+G53+G61</f>
        <v>140</v>
      </c>
      <c r="H72" s="287"/>
      <c r="I72" s="287"/>
      <c r="J72" s="287">
        <f>J45+J53+J61</f>
        <v>140.892</v>
      </c>
      <c r="K72" s="287"/>
      <c r="L72" s="287"/>
      <c r="M72" s="287">
        <f>M45+M53+M61</f>
        <v>145.03199999999998</v>
      </c>
      <c r="N72" s="287"/>
      <c r="O72" s="287"/>
      <c r="P72" s="287">
        <f>P45+P53+P61</f>
        <v>149.59199999999998</v>
      </c>
      <c r="Q72" s="287"/>
      <c r="R72" s="287"/>
      <c r="S72" s="287">
        <f>S45+S53+S61</f>
        <v>156.936</v>
      </c>
      <c r="T72" s="287"/>
      <c r="U72" s="287"/>
      <c r="V72" s="287">
        <f>V45+V53+V61</f>
        <v>167.5</v>
      </c>
      <c r="W72" s="287"/>
      <c r="X72" s="287"/>
      <c r="Y72" s="287">
        <f>Y45+Y53+Y61</f>
        <v>167.974</v>
      </c>
      <c r="Z72" s="287"/>
      <c r="AA72" s="287"/>
      <c r="AB72" s="287">
        <f>AB45+AB53+AB61</f>
        <v>176.212</v>
      </c>
      <c r="AC72" s="287"/>
      <c r="AD72" s="287"/>
      <c r="AE72" s="287">
        <f>AE45+AE53+AE61</f>
        <v>178.832</v>
      </c>
      <c r="AF72" s="287"/>
      <c r="AG72" s="287"/>
      <c r="AH72" s="287">
        <f>AH45+AH53+AH61</f>
        <v>180.07199999999997</v>
      </c>
      <c r="AI72" s="287"/>
      <c r="AJ72" s="287"/>
      <c r="AK72" s="287">
        <f>AK45+AK53+AK61</f>
        <v>180.552</v>
      </c>
      <c r="AL72" s="287"/>
      <c r="AM72" s="287"/>
      <c r="AO72" s="292">
        <f t="shared" si="17"/>
        <v>1783.5939999999996</v>
      </c>
      <c r="AP72" s="291"/>
      <c r="AQ72" s="291"/>
      <c r="AR72" s="291"/>
      <c r="AS72" s="290">
        <f>AO72/$AO$71*100</f>
        <v>1.5220326833639113</v>
      </c>
      <c r="AT72" s="290"/>
    </row>
    <row r="73" spans="1:46" ht="12.75">
      <c r="A73" s="291" t="s">
        <v>228</v>
      </c>
      <c r="B73" s="291"/>
      <c r="C73" s="291"/>
      <c r="D73" s="291"/>
      <c r="E73" s="291"/>
      <c r="F73" s="291"/>
      <c r="G73" s="287">
        <f>G71*0.0315</f>
        <v>68.67</v>
      </c>
      <c r="H73" s="287"/>
      <c r="I73" s="287"/>
      <c r="J73" s="287">
        <f>J71*0.0315</f>
        <v>126</v>
      </c>
      <c r="K73" s="287"/>
      <c r="L73" s="287"/>
      <c r="M73" s="287">
        <f>M71*0.0315</f>
        <v>186.0075</v>
      </c>
      <c r="N73" s="287"/>
      <c r="O73" s="287"/>
      <c r="P73" s="287">
        <f>P71*0.0315</f>
        <v>260.82</v>
      </c>
      <c r="Q73" s="287"/>
      <c r="R73" s="287"/>
      <c r="S73" s="287">
        <f>S71*0.0315</f>
        <v>344.61</v>
      </c>
      <c r="T73" s="287"/>
      <c r="U73" s="287"/>
      <c r="V73" s="287">
        <f>V71*0.0315</f>
        <v>409.5</v>
      </c>
      <c r="W73" s="287"/>
      <c r="X73" s="287"/>
      <c r="Y73" s="287">
        <f>Y71*0.0315</f>
        <v>411.39</v>
      </c>
      <c r="Z73" s="287"/>
      <c r="AA73" s="287"/>
      <c r="AB73" s="287">
        <f>AB71*0.0315</f>
        <v>439.74</v>
      </c>
      <c r="AC73" s="287"/>
      <c r="AD73" s="287"/>
      <c r="AE73" s="287">
        <f>AE71*0.0315</f>
        <v>452.34</v>
      </c>
      <c r="AF73" s="287"/>
      <c r="AG73" s="287"/>
      <c r="AH73" s="287">
        <f>AH71*0.0315</f>
        <v>458.64</v>
      </c>
      <c r="AI73" s="287"/>
      <c r="AJ73" s="287"/>
      <c r="AK73" s="287">
        <f>AK71*0.0315</f>
        <v>533.61</v>
      </c>
      <c r="AL73" s="287"/>
      <c r="AM73" s="287"/>
      <c r="AO73" s="292">
        <f>SUM(G73:AM73)</f>
        <v>3691.3275000000003</v>
      </c>
      <c r="AP73" s="291"/>
      <c r="AQ73" s="291"/>
      <c r="AR73" s="291"/>
      <c r="AS73" s="290">
        <f aca="true" t="shared" si="18" ref="AS73:AS81">AO73/$AO$71*100</f>
        <v>3.15</v>
      </c>
      <c r="AT73" s="290"/>
    </row>
    <row r="74" spans="1:46" ht="12.75">
      <c r="A74" s="291" t="s">
        <v>229</v>
      </c>
      <c r="B74" s="291"/>
      <c r="C74" s="291"/>
      <c r="D74" s="291"/>
      <c r="E74" s="291"/>
      <c r="F74" s="291"/>
      <c r="G74" s="287">
        <f>G46+G54+G62</f>
        <v>99.8</v>
      </c>
      <c r="H74" s="287"/>
      <c r="I74" s="287"/>
      <c r="J74" s="287">
        <f>J46+J54+J62</f>
        <v>99.8</v>
      </c>
      <c r="K74" s="287"/>
      <c r="L74" s="287"/>
      <c r="M74" s="287">
        <f>M46+M54+M62</f>
        <v>99.8</v>
      </c>
      <c r="N74" s="287"/>
      <c r="O74" s="287"/>
      <c r="P74" s="287">
        <f>P46+P54+P62</f>
        <v>99.8</v>
      </c>
      <c r="Q74" s="287"/>
      <c r="R74" s="287"/>
      <c r="S74" s="287">
        <f>S46+S54+S62</f>
        <v>99.8</v>
      </c>
      <c r="T74" s="287"/>
      <c r="U74" s="287"/>
      <c r="V74" s="287">
        <f>V46+V54+V62</f>
        <v>99.8</v>
      </c>
      <c r="W74" s="287"/>
      <c r="X74" s="287"/>
      <c r="Y74" s="287">
        <f>Y46+Y54+Y62</f>
        <v>99.8</v>
      </c>
      <c r="Z74" s="287"/>
      <c r="AA74" s="287"/>
      <c r="AB74" s="287">
        <f>AB46+AB54+AB62</f>
        <v>99.8</v>
      </c>
      <c r="AC74" s="287"/>
      <c r="AD74" s="287"/>
      <c r="AE74" s="287">
        <f>AE46+AE54+AE62</f>
        <v>99.8</v>
      </c>
      <c r="AF74" s="287"/>
      <c r="AG74" s="287"/>
      <c r="AH74" s="287">
        <f>AH46+AH54+AH62</f>
        <v>99.8</v>
      </c>
      <c r="AI74" s="287"/>
      <c r="AJ74" s="287"/>
      <c r="AK74" s="287">
        <f>AK46+AK54+AK62</f>
        <v>99.8</v>
      </c>
      <c r="AL74" s="287"/>
      <c r="AM74" s="287"/>
      <c r="AO74" s="292">
        <f t="shared" si="17"/>
        <v>1097.7999999999997</v>
      </c>
      <c r="AP74" s="291"/>
      <c r="AQ74" s="291"/>
      <c r="AR74" s="291"/>
      <c r="AS74" s="290">
        <f t="shared" si="18"/>
        <v>0.9368093185987966</v>
      </c>
      <c r="AT74" s="290"/>
    </row>
    <row r="75" spans="1:46" ht="12.75">
      <c r="A75" s="293" t="s">
        <v>78</v>
      </c>
      <c r="B75" s="293"/>
      <c r="C75" s="293"/>
      <c r="D75" s="293"/>
      <c r="E75" s="293"/>
      <c r="F75" s="293"/>
      <c r="G75" s="287">
        <f>G47+G55+G63+G73+G34</f>
        <v>395.67</v>
      </c>
      <c r="H75" s="287"/>
      <c r="I75" s="287"/>
      <c r="J75" s="287">
        <f>J47+J55+J63+J73+J34</f>
        <v>526.692</v>
      </c>
      <c r="K75" s="287"/>
      <c r="L75" s="287"/>
      <c r="M75" s="287">
        <f>M47+M55+M63+M73+M34</f>
        <v>667.0395</v>
      </c>
      <c r="N75" s="287"/>
      <c r="O75" s="287"/>
      <c r="P75" s="287">
        <f>P47+P55+P63+P73+P34</f>
        <v>841.412</v>
      </c>
      <c r="Q75" s="287"/>
      <c r="R75" s="287"/>
      <c r="S75" s="287">
        <f>S47+S55+S63+S73+S34</f>
        <v>1038.946</v>
      </c>
      <c r="T75" s="287"/>
      <c r="U75" s="287"/>
      <c r="V75" s="287">
        <f>V47+V55+V63+V73+V34</f>
        <v>1196.8</v>
      </c>
      <c r="W75" s="287"/>
      <c r="X75" s="287"/>
      <c r="Y75" s="287">
        <f>Y47+Y55+Y63+Y73+Y34</f>
        <v>1201.5639999999999</v>
      </c>
      <c r="Z75" s="287"/>
      <c r="AA75" s="287"/>
      <c r="AB75" s="287">
        <f>AB47+AB55+AB63+AB73+AB34</f>
        <v>1274.152</v>
      </c>
      <c r="AC75" s="287"/>
      <c r="AD75" s="287"/>
      <c r="AE75" s="287">
        <f>AE47+AE55+AE63+AE73+AE34</f>
        <v>1305.3719999999998</v>
      </c>
      <c r="AF75" s="287"/>
      <c r="AG75" s="287"/>
      <c r="AH75" s="287">
        <f>AH47+AH55+AH63+AH73+AH34</f>
        <v>1320.9119999999998</v>
      </c>
      <c r="AI75" s="287"/>
      <c r="AJ75" s="287"/>
      <c r="AK75" s="287">
        <f>AK47+AK55+AK63+AK73+AK34</f>
        <v>1491.562</v>
      </c>
      <c r="AL75" s="287"/>
      <c r="AM75" s="287"/>
      <c r="AO75" s="292">
        <f t="shared" si="17"/>
        <v>11260.1215</v>
      </c>
      <c r="AP75" s="291"/>
      <c r="AQ75" s="291"/>
      <c r="AR75" s="291"/>
      <c r="AS75" s="290">
        <f t="shared" si="18"/>
        <v>9.608842001962708</v>
      </c>
      <c r="AT75" s="290"/>
    </row>
    <row r="76" spans="1:46" ht="12.75">
      <c r="A76" s="293" t="s">
        <v>224</v>
      </c>
      <c r="B76" s="293"/>
      <c r="C76" s="293"/>
      <c r="D76" s="293"/>
      <c r="E76" s="293"/>
      <c r="F76" s="293"/>
      <c r="G76" s="287">
        <f>G66+G57+G49+G39</f>
        <v>-388.81800000000004</v>
      </c>
      <c r="H76" s="287"/>
      <c r="I76" s="287"/>
      <c r="J76" s="287">
        <f>J66+J57+J49+J39</f>
        <v>-339.00800000000004</v>
      </c>
      <c r="K76" s="287"/>
      <c r="L76" s="287"/>
      <c r="M76" s="287">
        <f>M66+M57+M49+M39</f>
        <v>-285.49300000000005</v>
      </c>
      <c r="N76" s="287"/>
      <c r="O76" s="287"/>
      <c r="P76" s="287">
        <f>P66+P57+P49+P39</f>
        <v>-216.00800000000004</v>
      </c>
      <c r="Q76" s="287"/>
      <c r="R76" s="287"/>
      <c r="S76" s="287">
        <f>S66+S57+S49+S39</f>
        <v>-110.99199999999999</v>
      </c>
      <c r="T76" s="287"/>
      <c r="U76" s="287"/>
      <c r="V76" s="287">
        <f>V66+V57+V49+V39</f>
        <v>-39.379999999999995</v>
      </c>
      <c r="W76" s="287"/>
      <c r="X76" s="287"/>
      <c r="Y76" s="287">
        <f>Y66+Y57+Y49+Y39</f>
        <v>-7.920315789473676</v>
      </c>
      <c r="Z76" s="287"/>
      <c r="AA76" s="287"/>
      <c r="AB76" s="287">
        <f>AB66+AB57+AB49+AB39</f>
        <v>20.741684210526316</v>
      </c>
      <c r="AC76" s="287"/>
      <c r="AD76" s="287"/>
      <c r="AE76" s="287">
        <f>AE66+AE57+AE49+AE39</f>
        <v>34.01768421052634</v>
      </c>
      <c r="AF76" s="287"/>
      <c r="AG76" s="287"/>
      <c r="AH76" s="287">
        <f>AH66+AH57+AH49+AH39</f>
        <v>40.697684210526326</v>
      </c>
      <c r="AI76" s="287"/>
      <c r="AJ76" s="287"/>
      <c r="AK76" s="287">
        <f>AK66+AK57+AK49+AK39</f>
        <v>82.37284210526316</v>
      </c>
      <c r="AL76" s="287"/>
      <c r="AM76" s="287"/>
      <c r="AO76" s="292">
        <f>SUM(G76:AM76)</f>
        <v>-1209.7894210526317</v>
      </c>
      <c r="AP76" s="291"/>
      <c r="AQ76" s="291"/>
      <c r="AR76" s="291"/>
      <c r="AS76" s="290">
        <f t="shared" si="18"/>
        <v>-1.0323756633123964</v>
      </c>
      <c r="AT76" s="290"/>
    </row>
    <row r="77" spans="1:46" ht="12.75">
      <c r="A77" s="293" t="s">
        <v>225</v>
      </c>
      <c r="B77" s="293"/>
      <c r="C77" s="293"/>
      <c r="D77" s="293"/>
      <c r="E77" s="293"/>
      <c r="F77" s="293"/>
      <c r="G77" s="287">
        <f>G64</f>
        <v>56</v>
      </c>
      <c r="H77" s="287"/>
      <c r="I77" s="287"/>
      <c r="J77" s="287">
        <f>J64</f>
        <v>63</v>
      </c>
      <c r="K77" s="287"/>
      <c r="L77" s="287"/>
      <c r="M77" s="287">
        <f>M64</f>
        <v>66.5</v>
      </c>
      <c r="N77" s="287"/>
      <c r="O77" s="287"/>
      <c r="P77" s="287">
        <f>P64</f>
        <v>70</v>
      </c>
      <c r="Q77" s="287"/>
      <c r="R77" s="287"/>
      <c r="S77" s="287">
        <f>S64</f>
        <v>70</v>
      </c>
      <c r="T77" s="287"/>
      <c r="U77" s="287"/>
      <c r="V77" s="287">
        <f>V64</f>
        <v>70</v>
      </c>
      <c r="W77" s="287"/>
      <c r="X77" s="287"/>
      <c r="Y77" s="287">
        <f>Y64</f>
        <v>70</v>
      </c>
      <c r="Z77" s="287"/>
      <c r="AA77" s="287"/>
      <c r="AB77" s="287">
        <f>AB64</f>
        <v>70</v>
      </c>
      <c r="AC77" s="287"/>
      <c r="AD77" s="287"/>
      <c r="AE77" s="287">
        <f>AE64</f>
        <v>70</v>
      </c>
      <c r="AF77" s="287"/>
      <c r="AG77" s="287"/>
      <c r="AH77" s="287">
        <f>AH64</f>
        <v>70</v>
      </c>
      <c r="AI77" s="287"/>
      <c r="AJ77" s="287"/>
      <c r="AK77" s="287">
        <f>AK64</f>
        <v>70</v>
      </c>
      <c r="AL77" s="287"/>
      <c r="AM77" s="287"/>
      <c r="AO77" s="292">
        <f>SUM(G77:AM77)</f>
        <v>745.5</v>
      </c>
      <c r="AP77" s="291"/>
      <c r="AQ77" s="291"/>
      <c r="AR77" s="291"/>
      <c r="AS77" s="290">
        <f t="shared" si="18"/>
        <v>0.636173571702863</v>
      </c>
      <c r="AT77" s="290"/>
    </row>
    <row r="78" spans="1:46" ht="12.75">
      <c r="A78" s="306" t="s">
        <v>80</v>
      </c>
      <c r="B78" s="294"/>
      <c r="C78" s="294"/>
      <c r="D78" s="294"/>
      <c r="E78" s="294"/>
      <c r="F78" s="294"/>
      <c r="G78" s="287">
        <v>0</v>
      </c>
      <c r="H78" s="287"/>
      <c r="I78" s="287"/>
      <c r="J78" s="287">
        <v>0</v>
      </c>
      <c r="K78" s="287"/>
      <c r="L78" s="287"/>
      <c r="M78" s="287">
        <v>0</v>
      </c>
      <c r="N78" s="287"/>
      <c r="O78" s="287"/>
      <c r="P78" s="287">
        <v>0</v>
      </c>
      <c r="Q78" s="287"/>
      <c r="R78" s="287"/>
      <c r="S78" s="287">
        <v>0</v>
      </c>
      <c r="T78" s="287"/>
      <c r="U78" s="287"/>
      <c r="V78" s="287">
        <v>0</v>
      </c>
      <c r="W78" s="287"/>
      <c r="X78" s="287"/>
      <c r="Y78" s="287">
        <f>-0.04*1400+25</f>
        <v>-31</v>
      </c>
      <c r="Z78" s="287"/>
      <c r="AA78" s="287"/>
      <c r="AB78" s="287">
        <f>-0.04*1400+25</f>
        <v>-31</v>
      </c>
      <c r="AC78" s="287"/>
      <c r="AD78" s="287"/>
      <c r="AE78" s="287">
        <f>-0.04*1400+25</f>
        <v>-31</v>
      </c>
      <c r="AF78" s="287"/>
      <c r="AG78" s="287"/>
      <c r="AH78" s="287">
        <f>-0.04*1400+25</f>
        <v>-31</v>
      </c>
      <c r="AI78" s="287"/>
      <c r="AJ78" s="287"/>
      <c r="AK78" s="287">
        <f>-0.04*1400+25</f>
        <v>-31</v>
      </c>
      <c r="AL78" s="287"/>
      <c r="AM78" s="287"/>
      <c r="AO78" s="292">
        <f>SUM(G78:AM78)</f>
        <v>-155</v>
      </c>
      <c r="AP78" s="291"/>
      <c r="AQ78" s="291"/>
      <c r="AR78" s="291"/>
      <c r="AS78" s="290">
        <f t="shared" si="18"/>
        <v>-0.13226948841575287</v>
      </c>
      <c r="AT78" s="290"/>
    </row>
    <row r="79" spans="1:46" ht="12.75">
      <c r="A79" s="291" t="s">
        <v>139</v>
      </c>
      <c r="B79" s="291"/>
      <c r="C79" s="291"/>
      <c r="D79" s="291"/>
      <c r="E79" s="291"/>
      <c r="F79" s="291"/>
      <c r="G79" s="287">
        <f>G75+G78-G76-G77</f>
        <v>728.488</v>
      </c>
      <c r="H79" s="287"/>
      <c r="I79" s="287"/>
      <c r="J79" s="287">
        <f>J75+J78-J76-J77</f>
        <v>802.7</v>
      </c>
      <c r="K79" s="287"/>
      <c r="L79" s="287"/>
      <c r="M79" s="287">
        <f>M75+M78-M76-M77</f>
        <v>886.0325</v>
      </c>
      <c r="N79" s="287"/>
      <c r="O79" s="287"/>
      <c r="P79" s="287">
        <f>P75+P78-P76-P77</f>
        <v>987.4200000000001</v>
      </c>
      <c r="Q79" s="287"/>
      <c r="R79" s="287"/>
      <c r="S79" s="287">
        <f>S75+S78-S76-S77</f>
        <v>1079.9379999999999</v>
      </c>
      <c r="T79" s="287"/>
      <c r="U79" s="287"/>
      <c r="V79" s="287">
        <f>V75+V78-V76-V77</f>
        <v>1166.1799999999998</v>
      </c>
      <c r="W79" s="287"/>
      <c r="X79" s="287"/>
      <c r="Y79" s="287">
        <f>Y75+Y78-Y76-Y77</f>
        <v>1108.4843157894736</v>
      </c>
      <c r="Z79" s="287"/>
      <c r="AA79" s="287"/>
      <c r="AB79" s="287">
        <f>AB75+AB78-AB76-AB77</f>
        <v>1152.4103157894738</v>
      </c>
      <c r="AC79" s="287"/>
      <c r="AD79" s="287"/>
      <c r="AE79" s="287">
        <f>AE75+AE78-AE76-AE77</f>
        <v>1170.3543157894735</v>
      </c>
      <c r="AF79" s="287"/>
      <c r="AG79" s="287"/>
      <c r="AH79" s="287">
        <f>AH75+AH78-AH76-AH77</f>
        <v>1179.2143157894734</v>
      </c>
      <c r="AI79" s="287"/>
      <c r="AJ79" s="287"/>
      <c r="AK79" s="287">
        <f>AK75+AK78-AK76-AK77</f>
        <v>1308.1891578947368</v>
      </c>
      <c r="AL79" s="287"/>
      <c r="AM79" s="287"/>
      <c r="AO79" s="292">
        <f t="shared" si="17"/>
        <v>11569.41092105263</v>
      </c>
      <c r="AP79" s="291"/>
      <c r="AQ79" s="291"/>
      <c r="AR79" s="291"/>
      <c r="AS79" s="290">
        <f t="shared" si="18"/>
        <v>9.872774605156486</v>
      </c>
      <c r="AT79" s="290"/>
    </row>
    <row r="80" spans="1:46" ht="12.75">
      <c r="A80" s="291" t="s">
        <v>138</v>
      </c>
      <c r="B80" s="291"/>
      <c r="C80" s="291"/>
      <c r="D80" s="291"/>
      <c r="E80" s="291"/>
      <c r="F80" s="291"/>
      <c r="G80" s="305">
        <f>G79/G71*100</f>
        <v>33.41688073394496</v>
      </c>
      <c r="H80" s="305"/>
      <c r="I80" s="305"/>
      <c r="J80" s="305">
        <f>J79/J71*100</f>
        <v>20.067500000000003</v>
      </c>
      <c r="K80" s="305"/>
      <c r="L80" s="305"/>
      <c r="M80" s="305">
        <f>M79/M71*100</f>
        <v>15.004784081287045</v>
      </c>
      <c r="N80" s="305"/>
      <c r="O80" s="305"/>
      <c r="P80" s="305">
        <f>P79/P71*100</f>
        <v>11.92536231884058</v>
      </c>
      <c r="Q80" s="305"/>
      <c r="R80" s="305"/>
      <c r="S80" s="305">
        <f>S79/S71*100</f>
        <v>9.87146252285192</v>
      </c>
      <c r="T80" s="305"/>
      <c r="U80" s="305"/>
      <c r="V80" s="305">
        <f>V79/V71*100</f>
        <v>8.970615384615384</v>
      </c>
      <c r="W80" s="305"/>
      <c r="X80" s="305"/>
      <c r="Y80" s="305">
        <f>Y79/Y71*100</f>
        <v>8.487628757959216</v>
      </c>
      <c r="Z80" s="305"/>
      <c r="AA80" s="305"/>
      <c r="AB80" s="305">
        <f>AB79/AB71*100</f>
        <v>8.255088221987634</v>
      </c>
      <c r="AC80" s="305"/>
      <c r="AD80" s="305"/>
      <c r="AE80" s="305">
        <f>AE79/AE71*100</f>
        <v>8.150099692127252</v>
      </c>
      <c r="AF80" s="305"/>
      <c r="AG80" s="305"/>
      <c r="AH80" s="305">
        <f>AH79/AH71*100</f>
        <v>8.098999421631</v>
      </c>
      <c r="AI80" s="305"/>
      <c r="AJ80" s="305"/>
      <c r="AK80" s="305">
        <f>AK79/AK71*100</f>
        <v>7.722486174112968</v>
      </c>
      <c r="AL80" s="305"/>
      <c r="AM80" s="305"/>
      <c r="AO80" s="292">
        <f>SUM(J80:AJ80)/9</f>
        <v>10.981282266811114</v>
      </c>
      <c r="AP80" s="291"/>
      <c r="AQ80" s="291"/>
      <c r="AR80" s="291"/>
      <c r="AS80" s="290" t="s">
        <v>230</v>
      </c>
      <c r="AT80" s="290"/>
    </row>
    <row r="81" spans="1:46" ht="12.75">
      <c r="A81" s="291" t="s">
        <v>140</v>
      </c>
      <c r="B81" s="291"/>
      <c r="C81" s="291"/>
      <c r="D81" s="291"/>
      <c r="E81" s="291"/>
      <c r="F81" s="291"/>
      <c r="G81" s="287">
        <f>G71/100*$O$87</f>
        <v>283.40000000000003</v>
      </c>
      <c r="H81" s="287"/>
      <c r="I81" s="287"/>
      <c r="J81" s="287">
        <f>J71/100*$O$87</f>
        <v>520</v>
      </c>
      <c r="K81" s="287"/>
      <c r="L81" s="287"/>
      <c r="M81" s="287">
        <f>M71/100*$O$87</f>
        <v>767.65</v>
      </c>
      <c r="N81" s="287"/>
      <c r="O81" s="287"/>
      <c r="P81" s="287">
        <f>P71/100*$O$87</f>
        <v>1076.3999999999999</v>
      </c>
      <c r="Q81" s="287"/>
      <c r="R81" s="287"/>
      <c r="S81" s="287">
        <f>S71/100*$O$87</f>
        <v>1422.2</v>
      </c>
      <c r="T81" s="287"/>
      <c r="U81" s="287"/>
      <c r="V81" s="287">
        <f>V71/100*$O$87</f>
        <v>1690</v>
      </c>
      <c r="W81" s="287"/>
      <c r="X81" s="287"/>
      <c r="Y81" s="287">
        <f>Y71/100*$O$87</f>
        <v>1697.8</v>
      </c>
      <c r="Z81" s="287"/>
      <c r="AA81" s="287"/>
      <c r="AB81" s="287">
        <f>AB71/100*$O$87</f>
        <v>1814.8</v>
      </c>
      <c r="AC81" s="287"/>
      <c r="AD81" s="287"/>
      <c r="AE81" s="287">
        <f>AE71/100*$O$87</f>
        <v>1866.8</v>
      </c>
      <c r="AF81" s="287"/>
      <c r="AG81" s="287"/>
      <c r="AH81" s="287">
        <f>AH71/100*$O$87</f>
        <v>1892.8</v>
      </c>
      <c r="AI81" s="287"/>
      <c r="AJ81" s="287"/>
      <c r="AK81" s="287">
        <f>AK71/100*$O$87</f>
        <v>2202.2000000000003</v>
      </c>
      <c r="AL81" s="287"/>
      <c r="AM81" s="287"/>
      <c r="AO81" s="292">
        <f>SUM(G81:AM81)</f>
        <v>15234.05</v>
      </c>
      <c r="AP81" s="291"/>
      <c r="AQ81" s="291"/>
      <c r="AR81" s="291"/>
      <c r="AS81" s="290">
        <f t="shared" si="18"/>
        <v>13</v>
      </c>
      <c r="AT81" s="290"/>
    </row>
    <row r="82" spans="1:47" ht="12.75">
      <c r="A82" s="291" t="s">
        <v>141</v>
      </c>
      <c r="B82" s="291"/>
      <c r="C82" s="291"/>
      <c r="D82" s="291"/>
      <c r="E82" s="291"/>
      <c r="F82" s="291"/>
      <c r="G82" s="285">
        <f>G81-G79</f>
        <v>-445.088</v>
      </c>
      <c r="H82" s="285"/>
      <c r="I82" s="285"/>
      <c r="J82" s="286">
        <f>J81-J79</f>
        <v>-282.70000000000005</v>
      </c>
      <c r="K82" s="286"/>
      <c r="L82" s="286"/>
      <c r="M82" s="286">
        <f>M81-M79</f>
        <v>-118.38250000000005</v>
      </c>
      <c r="N82" s="286"/>
      <c r="O82" s="286"/>
      <c r="P82" s="286">
        <f>P81-P79</f>
        <v>88.97999999999979</v>
      </c>
      <c r="Q82" s="286"/>
      <c r="R82" s="286"/>
      <c r="S82" s="286">
        <f>S81-S79</f>
        <v>342.26200000000017</v>
      </c>
      <c r="T82" s="286"/>
      <c r="U82" s="286"/>
      <c r="V82" s="286">
        <f>V81-V79</f>
        <v>523.8200000000002</v>
      </c>
      <c r="W82" s="286"/>
      <c r="X82" s="286"/>
      <c r="Y82" s="286">
        <f>Y81-Y79</f>
        <v>589.3156842105263</v>
      </c>
      <c r="Z82" s="286"/>
      <c r="AA82" s="286"/>
      <c r="AB82" s="286">
        <f>AB81-AB79</f>
        <v>662.3896842105262</v>
      </c>
      <c r="AC82" s="286"/>
      <c r="AD82" s="286"/>
      <c r="AE82" s="286">
        <f>AE81-AE79</f>
        <v>696.4456842105265</v>
      </c>
      <c r="AF82" s="286"/>
      <c r="AG82" s="286"/>
      <c r="AH82" s="286">
        <f>AH81-AH79</f>
        <v>713.5856842105266</v>
      </c>
      <c r="AI82" s="286"/>
      <c r="AJ82" s="286"/>
      <c r="AK82" s="286">
        <f>AK81-AK79</f>
        <v>894.0108421052635</v>
      </c>
      <c r="AL82" s="286"/>
      <c r="AM82" s="286"/>
      <c r="AO82" s="296">
        <f>SUM(G82:AM82)</f>
        <v>3664.639078947369</v>
      </c>
      <c r="AP82" s="297"/>
      <c r="AQ82" s="297"/>
      <c r="AR82" s="297"/>
      <c r="AS82" s="298">
        <f>AO82/AO71*100</f>
        <v>3.1272253948435114</v>
      </c>
      <c r="AT82" s="298"/>
      <c r="AU82" s="6" t="s">
        <v>152</v>
      </c>
    </row>
    <row r="83" spans="1:47" ht="12.75">
      <c r="A83" s="291" t="s">
        <v>227</v>
      </c>
      <c r="B83" s="291"/>
      <c r="C83" s="291"/>
      <c r="D83" s="291"/>
      <c r="E83" s="291"/>
      <c r="F83" s="291"/>
      <c r="G83" s="299">
        <f>G82/G71*100</f>
        <v>-20.416880733944957</v>
      </c>
      <c r="H83" s="299"/>
      <c r="I83" s="299"/>
      <c r="J83" s="288">
        <f>J82/J71*100</f>
        <v>-7.067500000000002</v>
      </c>
      <c r="K83" s="288"/>
      <c r="L83" s="288"/>
      <c r="M83" s="288">
        <f>M82/M71*100</f>
        <v>-2.0047840812870454</v>
      </c>
      <c r="N83" s="288"/>
      <c r="O83" s="288"/>
      <c r="P83" s="288">
        <f>P82/P71*100</f>
        <v>1.0746376811594178</v>
      </c>
      <c r="Q83" s="288"/>
      <c r="R83" s="288"/>
      <c r="S83" s="288">
        <f>S82/S71*100</f>
        <v>3.128537477148082</v>
      </c>
      <c r="T83" s="288"/>
      <c r="U83" s="288"/>
      <c r="V83" s="288">
        <f>V82/V71*100</f>
        <v>4.0293846153846165</v>
      </c>
      <c r="W83" s="288"/>
      <c r="X83" s="288"/>
      <c r="Y83" s="288">
        <f>Y82/Y71*100</f>
        <v>4.512371242040784</v>
      </c>
      <c r="Z83" s="288"/>
      <c r="AA83" s="288"/>
      <c r="AB83" s="288">
        <f>AB82/AB71*100</f>
        <v>4.744911778012365</v>
      </c>
      <c r="AC83" s="288"/>
      <c r="AD83" s="288"/>
      <c r="AE83" s="288">
        <f>AE82/AE71*100</f>
        <v>4.849900307872747</v>
      </c>
      <c r="AF83" s="288"/>
      <c r="AG83" s="288"/>
      <c r="AH83" s="288">
        <f>AH82/AH71*100</f>
        <v>4.901000578369001</v>
      </c>
      <c r="AI83" s="288"/>
      <c r="AJ83" s="288"/>
      <c r="AK83" s="288">
        <f>AK82/AK71*100</f>
        <v>5.277513825887033</v>
      </c>
      <c r="AL83" s="288"/>
      <c r="AM83" s="288"/>
      <c r="AO83" s="288"/>
      <c r="AP83" s="301"/>
      <c r="AQ83" s="301"/>
      <c r="AR83" s="301"/>
      <c r="AS83" s="290"/>
      <c r="AT83" s="290"/>
      <c r="AU83" s="6"/>
    </row>
    <row r="84" spans="1:47" ht="13.5" thickBot="1">
      <c r="A84" s="284" t="s">
        <v>226</v>
      </c>
      <c r="B84" s="284"/>
      <c r="C84" s="284"/>
      <c r="D84" s="284"/>
      <c r="E84" s="284"/>
      <c r="F84" s="284"/>
      <c r="G84" s="285">
        <f>IF(G82&lt;0,G82,0.8*G82)</f>
        <v>-445.088</v>
      </c>
      <c r="H84" s="285"/>
      <c r="I84" s="285"/>
      <c r="J84" s="286">
        <f>IF(J82&lt;0,J82,0.8*J82)</f>
        <v>-282.70000000000005</v>
      </c>
      <c r="K84" s="286"/>
      <c r="L84" s="286"/>
      <c r="M84" s="286">
        <f>IF(M82&lt;0,M82,0.8*M82)</f>
        <v>-118.38250000000005</v>
      </c>
      <c r="N84" s="286"/>
      <c r="O84" s="286"/>
      <c r="P84" s="286">
        <f>IF(P82&lt;0,P82,0.8*P82)</f>
        <v>71.18399999999984</v>
      </c>
      <c r="Q84" s="286"/>
      <c r="R84" s="286"/>
      <c r="S84" s="286">
        <f>IF(S82&lt;0,S82,0.8*S82)</f>
        <v>273.80960000000016</v>
      </c>
      <c r="T84" s="286"/>
      <c r="U84" s="286"/>
      <c r="V84" s="286">
        <f>IF(V82&lt;0,V82,0.8*V82)</f>
        <v>419.05600000000015</v>
      </c>
      <c r="W84" s="286"/>
      <c r="X84" s="286"/>
      <c r="Y84" s="286">
        <f>IF(Y82&lt;0,Y82,0.8*Y82)</f>
        <v>471.4525473684211</v>
      </c>
      <c r="Z84" s="286"/>
      <c r="AA84" s="286"/>
      <c r="AB84" s="286">
        <f>IF(AB82&lt;0,AB82,0.8*AB82)</f>
        <v>529.911747368421</v>
      </c>
      <c r="AC84" s="286"/>
      <c r="AD84" s="286"/>
      <c r="AE84" s="286">
        <f>IF(AE82&lt;0,AE82,0.8*AE82)</f>
        <v>557.1565473684212</v>
      </c>
      <c r="AF84" s="286"/>
      <c r="AG84" s="286"/>
      <c r="AH84" s="286">
        <f>IF(AH82&lt;0,AH82,0.8*AH82)</f>
        <v>570.8685473684212</v>
      </c>
      <c r="AI84" s="286"/>
      <c r="AJ84" s="286"/>
      <c r="AK84" s="286">
        <f>IF(AK82&lt;0,AK82,0.8*AK82)</f>
        <v>715.2086736842108</v>
      </c>
      <c r="AL84" s="286"/>
      <c r="AM84" s="286"/>
      <c r="AO84" s="296">
        <f>SUM(G84:AM84)</f>
        <v>2762.4771631578956</v>
      </c>
      <c r="AP84" s="297"/>
      <c r="AQ84" s="297"/>
      <c r="AR84" s="297"/>
      <c r="AS84" s="298">
        <f>AO84/AO71*100</f>
        <v>2.357364136329646</v>
      </c>
      <c r="AT84" s="298"/>
      <c r="AU84" s="6" t="s">
        <v>152</v>
      </c>
    </row>
    <row r="85" spans="1:47" ht="13.5" thickBot="1">
      <c r="A85" s="291" t="s">
        <v>232</v>
      </c>
      <c r="B85" s="291"/>
      <c r="C85" s="291"/>
      <c r="D85" s="291"/>
      <c r="E85" s="291"/>
      <c r="F85" s="291"/>
      <c r="G85" s="299">
        <f>G84/G71*100</f>
        <v>-20.416880733944957</v>
      </c>
      <c r="H85" s="299"/>
      <c r="I85" s="299"/>
      <c r="J85" s="310">
        <f>J84/J71*100</f>
        <v>-7.067500000000002</v>
      </c>
      <c r="K85" s="311"/>
      <c r="L85" s="312"/>
      <c r="M85" s="313">
        <f>M84/M71*100</f>
        <v>-2.0047840812870454</v>
      </c>
      <c r="N85" s="313"/>
      <c r="O85" s="313"/>
      <c r="P85" s="313">
        <f>P84/P71*100</f>
        <v>0.8597101449275344</v>
      </c>
      <c r="Q85" s="313"/>
      <c r="R85" s="313"/>
      <c r="S85" s="313">
        <f>S84/S71*100</f>
        <v>2.502829981718466</v>
      </c>
      <c r="T85" s="313"/>
      <c r="U85" s="313"/>
      <c r="V85" s="313">
        <f>V84/V71*100</f>
        <v>3.2235076923076935</v>
      </c>
      <c r="W85" s="313"/>
      <c r="X85" s="313"/>
      <c r="Y85" s="313">
        <f>Y84/Y71*100</f>
        <v>3.6098969936326277</v>
      </c>
      <c r="Z85" s="313"/>
      <c r="AA85" s="313"/>
      <c r="AB85" s="313">
        <f>AB84/AB71*100</f>
        <v>3.7959294224098925</v>
      </c>
      <c r="AC85" s="313"/>
      <c r="AD85" s="313"/>
      <c r="AE85" s="313">
        <f>AE84/AE71*100</f>
        <v>3.8799202462981977</v>
      </c>
      <c r="AF85" s="313"/>
      <c r="AG85" s="313"/>
      <c r="AH85" s="313">
        <f>AH84/AH71*100</f>
        <v>3.920800462695201</v>
      </c>
      <c r="AI85" s="313"/>
      <c r="AJ85" s="313"/>
      <c r="AK85" s="313">
        <f>AK84/AK71*100</f>
        <v>4.222011060709627</v>
      </c>
      <c r="AL85" s="313"/>
      <c r="AM85" s="313"/>
      <c r="AN85" s="290" t="s">
        <v>233</v>
      </c>
      <c r="AO85" s="290"/>
      <c r="AP85" s="290"/>
      <c r="AQ85" s="290"/>
      <c r="AR85" s="290"/>
      <c r="AS85" s="290"/>
      <c r="AT85" s="290"/>
      <c r="AU85" s="6"/>
    </row>
    <row r="86" spans="1:44" ht="13.5" thickBot="1">
      <c r="A86" s="291" t="s">
        <v>235</v>
      </c>
      <c r="B86" s="291"/>
      <c r="C86" s="291"/>
      <c r="D86" s="291"/>
      <c r="E86" s="291"/>
      <c r="F86" s="291"/>
      <c r="G86" s="40" t="s">
        <v>143</v>
      </c>
      <c r="H86" s="40" t="s">
        <v>144</v>
      </c>
      <c r="I86" s="40" t="s">
        <v>145</v>
      </c>
      <c r="J86" s="76" t="s">
        <v>146</v>
      </c>
      <c r="K86" s="76" t="s">
        <v>147</v>
      </c>
      <c r="L86" s="76" t="s">
        <v>148</v>
      </c>
      <c r="M86" s="292">
        <f>M84/(M71/(100+$Y$87)*100)*100</f>
        <v>-2.3055016934801027</v>
      </c>
      <c r="N86" s="292"/>
      <c r="O86" s="292"/>
      <c r="P86" s="292">
        <f>P84/(P71/(100+$Y$87)*100)*100</f>
        <v>0.9886666666666645</v>
      </c>
      <c r="Q86" s="292"/>
      <c r="R86" s="292"/>
      <c r="S86" s="292">
        <f>S84/(S71/(100+$Y$87)*100)*100</f>
        <v>2.8782544789762357</v>
      </c>
      <c r="T86" s="292"/>
      <c r="U86" s="292"/>
      <c r="V86" s="292">
        <f>V84/(V71/(100+$Y$87)*100)*100</f>
        <v>3.7070338461538475</v>
      </c>
      <c r="W86" s="292"/>
      <c r="X86" s="292"/>
      <c r="Y86" s="292">
        <f>Y84/(Y71/(100+$Y$87)*100)*100</f>
        <v>4.151381542677521</v>
      </c>
      <c r="Z86" s="292"/>
      <c r="AA86" s="292"/>
      <c r="AB86" s="292">
        <f>AB84/(AB71/(100+$Y$87)*100)*100</f>
        <v>4.365318835771376</v>
      </c>
      <c r="AC86" s="292"/>
      <c r="AD86" s="292"/>
      <c r="AE86" s="292">
        <f>AE84/(AE71/(100+$Y$87)*100)*100</f>
        <v>4.461908283242928</v>
      </c>
      <c r="AF86" s="292"/>
      <c r="AG86" s="292"/>
      <c r="AH86" s="292">
        <f>AH84/(AH71/(100+$Y$87)*100)*100</f>
        <v>4.508920532099482</v>
      </c>
      <c r="AI86" s="292"/>
      <c r="AJ86" s="292"/>
      <c r="AK86" s="292">
        <f>AK84/(AK71/(100+$Y$87)*100)*100</f>
        <v>4.855312719816071</v>
      </c>
      <c r="AL86" s="292"/>
      <c r="AM86" s="292"/>
      <c r="AN86" s="290" t="s">
        <v>234</v>
      </c>
      <c r="AO86" s="290"/>
      <c r="AP86" s="290"/>
      <c r="AQ86" s="290"/>
      <c r="AR86" s="290"/>
    </row>
    <row r="87" spans="1:46" ht="12.75">
      <c r="A87" s="291" t="s">
        <v>142</v>
      </c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7">
        <v>13</v>
      </c>
      <c r="P87" s="297"/>
      <c r="Q87" s="3" t="s">
        <v>33</v>
      </c>
      <c r="R87" s="291" t="s">
        <v>151</v>
      </c>
      <c r="S87" s="291"/>
      <c r="T87" s="291" t="s">
        <v>150</v>
      </c>
      <c r="U87" s="291"/>
      <c r="V87" s="291"/>
      <c r="W87" s="291"/>
      <c r="X87" s="291"/>
      <c r="Y87" s="300">
        <v>15</v>
      </c>
      <c r="Z87" s="300"/>
      <c r="AA87" s="3" t="s">
        <v>33</v>
      </c>
      <c r="AD87" s="289" t="s">
        <v>346</v>
      </c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91"/>
      <c r="AT87" s="291"/>
    </row>
    <row r="88" spans="1:45" ht="12.75">
      <c r="A88" s="291" t="s">
        <v>231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87">
        <f>Y87/(100+Y87)*100</f>
        <v>13.043478260869565</v>
      </c>
      <c r="N88" s="287"/>
      <c r="O88" s="287"/>
      <c r="P88" s="287"/>
      <c r="Q88" s="291" t="s">
        <v>152</v>
      </c>
      <c r="R88" s="291"/>
      <c r="S88" s="291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37"/>
    </row>
    <row r="89" spans="1:6" ht="12.75">
      <c r="A89" s="302" t="s">
        <v>347</v>
      </c>
      <c r="B89" s="302"/>
      <c r="C89" s="302"/>
      <c r="D89" s="302"/>
      <c r="E89" s="302"/>
      <c r="F89" s="302"/>
    </row>
    <row r="90" spans="1:39" ht="12.75">
      <c r="A90" s="302"/>
      <c r="B90" s="302"/>
      <c r="C90" s="302"/>
      <c r="D90" s="302"/>
      <c r="E90" s="302"/>
      <c r="F90" s="302"/>
      <c r="G90" s="299">
        <f>G84/G79*100</f>
        <v>-61.09750606736144</v>
      </c>
      <c r="H90" s="299"/>
      <c r="I90" s="299"/>
      <c r="J90" s="299">
        <f>J84/J79*100</f>
        <v>-35.21863709978822</v>
      </c>
      <c r="K90" s="299"/>
      <c r="L90" s="299"/>
      <c r="M90" s="292">
        <f>M84/M79*100</f>
        <v>-13.360965878791134</v>
      </c>
      <c r="N90" s="292"/>
      <c r="O90" s="292"/>
      <c r="P90" s="292">
        <f>P84/P79*100</f>
        <v>7.209090356687107</v>
      </c>
      <c r="Q90" s="292"/>
      <c r="R90" s="292"/>
      <c r="S90" s="292">
        <f>S84/S79*100</f>
        <v>25.354196259414906</v>
      </c>
      <c r="T90" s="292"/>
      <c r="U90" s="292"/>
      <c r="V90" s="292">
        <f>V84/V79*100</f>
        <v>35.934075357149</v>
      </c>
      <c r="W90" s="292"/>
      <c r="X90" s="292"/>
      <c r="Y90" s="292">
        <f>Y84/Y79*100</f>
        <v>42.53127812932995</v>
      </c>
      <c r="Z90" s="292"/>
      <c r="AA90" s="292"/>
      <c r="AB90" s="292">
        <f>AB84/AB79*100</f>
        <v>45.9829055769427</v>
      </c>
      <c r="AC90" s="292"/>
      <c r="AD90" s="292"/>
      <c r="AE90" s="292">
        <f>AE84/AE79*100</f>
        <v>47.60580106825052</v>
      </c>
      <c r="AF90" s="292"/>
      <c r="AG90" s="292"/>
      <c r="AH90" s="292">
        <f>AH84/AH79*100</f>
        <v>48.41092409790072</v>
      </c>
      <c r="AI90" s="292"/>
      <c r="AJ90" s="292"/>
      <c r="AK90" s="292">
        <f>AK84/AK79*100</f>
        <v>54.67165580512783</v>
      </c>
      <c r="AL90" s="292"/>
      <c r="AM90" s="292"/>
    </row>
  </sheetData>
  <mergeCells count="1026">
    <mergeCell ref="AE37:AG37"/>
    <mergeCell ref="AH37:AJ37"/>
    <mergeCell ref="AK37:AM37"/>
    <mergeCell ref="AO37:AR37"/>
    <mergeCell ref="AO40:AR40"/>
    <mergeCell ref="A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B40:AD40"/>
    <mergeCell ref="AE40:AG40"/>
    <mergeCell ref="AH40:AJ40"/>
    <mergeCell ref="AK40:AM40"/>
    <mergeCell ref="P40:R40"/>
    <mergeCell ref="S40:U40"/>
    <mergeCell ref="V40:X40"/>
    <mergeCell ref="Y40:AA40"/>
    <mergeCell ref="A40:F40"/>
    <mergeCell ref="G40:I40"/>
    <mergeCell ref="J40:L40"/>
    <mergeCell ref="M40:O40"/>
    <mergeCell ref="AE38:AG38"/>
    <mergeCell ref="AH38:AJ38"/>
    <mergeCell ref="AK38:AM38"/>
    <mergeCell ref="AO38:AR38"/>
    <mergeCell ref="A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O36:AR36"/>
    <mergeCell ref="A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H59:AJ59"/>
    <mergeCell ref="AK59:AM59"/>
    <mergeCell ref="AO59:AR59"/>
    <mergeCell ref="AS87:AT87"/>
    <mergeCell ref="AS82:AT82"/>
    <mergeCell ref="AH85:AJ85"/>
    <mergeCell ref="AH60:AJ60"/>
    <mergeCell ref="AK60:AM60"/>
    <mergeCell ref="AO60:AR60"/>
    <mergeCell ref="AO61:AR61"/>
    <mergeCell ref="P56:R56"/>
    <mergeCell ref="S56:U56"/>
    <mergeCell ref="V56:X56"/>
    <mergeCell ref="Y56:AA56"/>
    <mergeCell ref="A56:F56"/>
    <mergeCell ref="G56:I56"/>
    <mergeCell ref="J56:L56"/>
    <mergeCell ref="M56:O56"/>
    <mergeCell ref="W50:Z50"/>
    <mergeCell ref="AA50:AB50"/>
    <mergeCell ref="AE55:AG55"/>
    <mergeCell ref="AH54:AJ54"/>
    <mergeCell ref="V54:X54"/>
    <mergeCell ref="Y54:AA54"/>
    <mergeCell ref="AB54:AD54"/>
    <mergeCell ref="V55:X55"/>
    <mergeCell ref="Y55:AA55"/>
    <mergeCell ref="V53:X53"/>
    <mergeCell ref="G51:I51"/>
    <mergeCell ref="J51:L51"/>
    <mergeCell ref="M51:O51"/>
    <mergeCell ref="P51:R51"/>
    <mergeCell ref="S51:U51"/>
    <mergeCell ref="V51:X51"/>
    <mergeCell ref="Y51:AA51"/>
    <mergeCell ref="AS85:AT85"/>
    <mergeCell ref="AB51:AD51"/>
    <mergeCell ref="AB56:AD56"/>
    <mergeCell ref="AE56:AG56"/>
    <mergeCell ref="AH56:AJ56"/>
    <mergeCell ref="AK56:AM56"/>
    <mergeCell ref="AE59:AG59"/>
    <mergeCell ref="AE60:AG60"/>
    <mergeCell ref="A76:F76"/>
    <mergeCell ref="G76:I76"/>
    <mergeCell ref="J76:L76"/>
    <mergeCell ref="M76:O76"/>
    <mergeCell ref="V66:X66"/>
    <mergeCell ref="Y66:AA66"/>
    <mergeCell ref="P60:R60"/>
    <mergeCell ref="S60:U60"/>
    <mergeCell ref="V60:X60"/>
    <mergeCell ref="S55:U55"/>
    <mergeCell ref="AO55:AR55"/>
    <mergeCell ref="AB55:AD55"/>
    <mergeCell ref="AK85:AM85"/>
    <mergeCell ref="AE66:AG66"/>
    <mergeCell ref="AH66:AJ66"/>
    <mergeCell ref="AK66:AM66"/>
    <mergeCell ref="AO66:AR66"/>
    <mergeCell ref="AB66:AD66"/>
    <mergeCell ref="AB60:AD60"/>
    <mergeCell ref="AK54:AM54"/>
    <mergeCell ref="AO54:AR54"/>
    <mergeCell ref="A55:F55"/>
    <mergeCell ref="G55:I55"/>
    <mergeCell ref="J55:L55"/>
    <mergeCell ref="M55:O55"/>
    <mergeCell ref="AH55:AJ55"/>
    <mergeCell ref="AK55:AM55"/>
    <mergeCell ref="P55:R55"/>
    <mergeCell ref="S54:U54"/>
    <mergeCell ref="Y53:AA53"/>
    <mergeCell ref="AB53:AD53"/>
    <mergeCell ref="AE53:AG53"/>
    <mergeCell ref="A60:F60"/>
    <mergeCell ref="G60:I60"/>
    <mergeCell ref="J60:L60"/>
    <mergeCell ref="M60:O60"/>
    <mergeCell ref="AE54:AG54"/>
    <mergeCell ref="AA58:AB58"/>
    <mergeCell ref="G59:I59"/>
    <mergeCell ref="AK53:AM53"/>
    <mergeCell ref="AO53:AR53"/>
    <mergeCell ref="AB52:AD52"/>
    <mergeCell ref="AE52:AG52"/>
    <mergeCell ref="AH52:AJ52"/>
    <mergeCell ref="AK52:AM52"/>
    <mergeCell ref="J59:L59"/>
    <mergeCell ref="M59:O59"/>
    <mergeCell ref="P59:R59"/>
    <mergeCell ref="S59:U59"/>
    <mergeCell ref="AO51:AR51"/>
    <mergeCell ref="Y48:AA48"/>
    <mergeCell ref="AB59:AD59"/>
    <mergeCell ref="T58:U58"/>
    <mergeCell ref="W58:Z58"/>
    <mergeCell ref="AB57:AD57"/>
    <mergeCell ref="V59:X59"/>
    <mergeCell ref="Y59:AA59"/>
    <mergeCell ref="AO52:AR52"/>
    <mergeCell ref="AH53:AJ53"/>
    <mergeCell ref="Y46:AA46"/>
    <mergeCell ref="AB46:AD46"/>
    <mergeCell ref="Y60:AA60"/>
    <mergeCell ref="AO47:AR47"/>
    <mergeCell ref="AH47:AJ47"/>
    <mergeCell ref="AK47:AM47"/>
    <mergeCell ref="AB47:AD47"/>
    <mergeCell ref="AE47:AG47"/>
    <mergeCell ref="AH51:AJ51"/>
    <mergeCell ref="AK51:AM51"/>
    <mergeCell ref="Y42:AA42"/>
    <mergeCell ref="V43:X43"/>
    <mergeCell ref="Y30:AA30"/>
    <mergeCell ref="AB30:AD30"/>
    <mergeCell ref="Y43:AA43"/>
    <mergeCell ref="AB43:AD43"/>
    <mergeCell ref="Y34:AA34"/>
    <mergeCell ref="AB34:AD34"/>
    <mergeCell ref="Y35:AA35"/>
    <mergeCell ref="AB35:AD35"/>
    <mergeCell ref="AO45:AR45"/>
    <mergeCell ref="AO46:AR46"/>
    <mergeCell ref="AH45:AJ45"/>
    <mergeCell ref="AK45:AM45"/>
    <mergeCell ref="AH46:AJ46"/>
    <mergeCell ref="AK46:AM46"/>
    <mergeCell ref="V47:X47"/>
    <mergeCell ref="V46:X46"/>
    <mergeCell ref="G30:I30"/>
    <mergeCell ref="J30:L30"/>
    <mergeCell ref="M30:O30"/>
    <mergeCell ref="P30:R30"/>
    <mergeCell ref="S30:U30"/>
    <mergeCell ref="V30:X30"/>
    <mergeCell ref="G34:I34"/>
    <mergeCell ref="G35:I35"/>
    <mergeCell ref="A46:F46"/>
    <mergeCell ref="A47:F47"/>
    <mergeCell ref="J47:L47"/>
    <mergeCell ref="M47:O47"/>
    <mergeCell ref="J46:L46"/>
    <mergeCell ref="M46:O46"/>
    <mergeCell ref="G47:I47"/>
    <mergeCell ref="AE85:AG85"/>
    <mergeCell ref="M45:O45"/>
    <mergeCell ref="G45:I45"/>
    <mergeCell ref="J45:L45"/>
    <mergeCell ref="P46:R46"/>
    <mergeCell ref="S46:U46"/>
    <mergeCell ref="Y47:AA47"/>
    <mergeCell ref="AE46:AG46"/>
    <mergeCell ref="P47:R47"/>
    <mergeCell ref="S47:U47"/>
    <mergeCell ref="AO43:AR43"/>
    <mergeCell ref="AO44:AR44"/>
    <mergeCell ref="A45:F45"/>
    <mergeCell ref="P45:R45"/>
    <mergeCell ref="S45:U45"/>
    <mergeCell ref="V45:X45"/>
    <mergeCell ref="Y45:AA45"/>
    <mergeCell ref="AB45:AD45"/>
    <mergeCell ref="AE45:AG45"/>
    <mergeCell ref="AB44:AD44"/>
    <mergeCell ref="AH44:AJ44"/>
    <mergeCell ref="AK44:AM44"/>
    <mergeCell ref="AE42:AG42"/>
    <mergeCell ref="AH42:AJ42"/>
    <mergeCell ref="AK42:AM42"/>
    <mergeCell ref="AE43:AG43"/>
    <mergeCell ref="AE44:AG44"/>
    <mergeCell ref="AO42:AR42"/>
    <mergeCell ref="AH43:AJ43"/>
    <mergeCell ref="AK43:AM43"/>
    <mergeCell ref="G43:I43"/>
    <mergeCell ref="G42:I42"/>
    <mergeCell ref="J42:L42"/>
    <mergeCell ref="M42:O42"/>
    <mergeCell ref="P42:R42"/>
    <mergeCell ref="S42:U42"/>
    <mergeCell ref="V42:X42"/>
    <mergeCell ref="A41:F41"/>
    <mergeCell ref="A44:F44"/>
    <mergeCell ref="AB42:AD42"/>
    <mergeCell ref="J44:L44"/>
    <mergeCell ref="M44:O44"/>
    <mergeCell ref="P44:R44"/>
    <mergeCell ref="S44:U44"/>
    <mergeCell ref="V44:X44"/>
    <mergeCell ref="Y44:AA44"/>
    <mergeCell ref="J43:L43"/>
    <mergeCell ref="S1:U1"/>
    <mergeCell ref="M7:O7"/>
    <mergeCell ref="S3:U3"/>
    <mergeCell ref="S6:U6"/>
    <mergeCell ref="S7:U7"/>
    <mergeCell ref="M8:O8"/>
    <mergeCell ref="P6:R6"/>
    <mergeCell ref="M4:O4"/>
    <mergeCell ref="M5:O5"/>
    <mergeCell ref="M6:O6"/>
    <mergeCell ref="P7:R7"/>
    <mergeCell ref="P8:R8"/>
    <mergeCell ref="A3:F3"/>
    <mergeCell ref="AH1:AJ1"/>
    <mergeCell ref="AK1:AM1"/>
    <mergeCell ref="P3:R3"/>
    <mergeCell ref="M3:O3"/>
    <mergeCell ref="Y3:AA3"/>
    <mergeCell ref="AB3:AD3"/>
    <mergeCell ref="AE3:AG3"/>
    <mergeCell ref="AH3:AJ3"/>
    <mergeCell ref="AK3:AM3"/>
    <mergeCell ref="AO1:AR1"/>
    <mergeCell ref="A2:F2"/>
    <mergeCell ref="V1:X1"/>
    <mergeCell ref="Y1:AA1"/>
    <mergeCell ref="AB1:AD1"/>
    <mergeCell ref="AE1:AG1"/>
    <mergeCell ref="J1:L1"/>
    <mergeCell ref="G1:I1"/>
    <mergeCell ref="M1:O1"/>
    <mergeCell ref="P1:R1"/>
    <mergeCell ref="A10:F10"/>
    <mergeCell ref="A11:F11"/>
    <mergeCell ref="A13:F13"/>
    <mergeCell ref="A4:F4"/>
    <mergeCell ref="A9:F9"/>
    <mergeCell ref="A22:F22"/>
    <mergeCell ref="A15:F15"/>
    <mergeCell ref="A12:F12"/>
    <mergeCell ref="A16:F16"/>
    <mergeCell ref="A17:F17"/>
    <mergeCell ref="G5:I5"/>
    <mergeCell ref="G6:I6"/>
    <mergeCell ref="A23:F23"/>
    <mergeCell ref="A5:F5"/>
    <mergeCell ref="A6:F6"/>
    <mergeCell ref="A7:F7"/>
    <mergeCell ref="A8:F8"/>
    <mergeCell ref="A19:F19"/>
    <mergeCell ref="A20:F20"/>
    <mergeCell ref="A21:F21"/>
    <mergeCell ref="G7:I7"/>
    <mergeCell ref="G8:I8"/>
    <mergeCell ref="J3:L3"/>
    <mergeCell ref="J4:L4"/>
    <mergeCell ref="J5:L5"/>
    <mergeCell ref="J6:L6"/>
    <mergeCell ref="J7:L7"/>
    <mergeCell ref="J8:L8"/>
    <mergeCell ref="G3:I3"/>
    <mergeCell ref="G4:I4"/>
    <mergeCell ref="V3:X3"/>
    <mergeCell ref="P5:R5"/>
    <mergeCell ref="S5:U5"/>
    <mergeCell ref="V5:X5"/>
    <mergeCell ref="V6:X6"/>
    <mergeCell ref="P4:R4"/>
    <mergeCell ref="S4:U4"/>
    <mergeCell ref="V4:X4"/>
    <mergeCell ref="AK4:AM4"/>
    <mergeCell ref="Y5:AA5"/>
    <mergeCell ref="AB5:AD5"/>
    <mergeCell ref="AE5:AG5"/>
    <mergeCell ref="AH5:AJ5"/>
    <mergeCell ref="AK5:AM5"/>
    <mergeCell ref="Y4:AA4"/>
    <mergeCell ref="AB4:AD4"/>
    <mergeCell ref="AE4:AG4"/>
    <mergeCell ref="AH4:AJ4"/>
    <mergeCell ref="Y6:AA6"/>
    <mergeCell ref="AB6:AD6"/>
    <mergeCell ref="AE6:AG6"/>
    <mergeCell ref="AH6:AJ6"/>
    <mergeCell ref="AK7:AM7"/>
    <mergeCell ref="V7:X7"/>
    <mergeCell ref="Y7:AA7"/>
    <mergeCell ref="AK8:AM8"/>
    <mergeCell ref="AB8:AD8"/>
    <mergeCell ref="AE8:AG8"/>
    <mergeCell ref="AH8:AJ8"/>
    <mergeCell ref="AB7:AD7"/>
    <mergeCell ref="AE7:AG7"/>
    <mergeCell ref="AH7:AJ7"/>
    <mergeCell ref="S8:U8"/>
    <mergeCell ref="V8:X8"/>
    <mergeCell ref="Y8:AA8"/>
    <mergeCell ref="AO3:AR3"/>
    <mergeCell ref="AO4:AR4"/>
    <mergeCell ref="AO5:AR5"/>
    <mergeCell ref="AO6:AR6"/>
    <mergeCell ref="AK6:AM6"/>
    <mergeCell ref="AO7:AR7"/>
    <mergeCell ref="AO8:AR8"/>
    <mergeCell ref="G11:I11"/>
    <mergeCell ref="G12:I12"/>
    <mergeCell ref="G13:I13"/>
    <mergeCell ref="A14:F14"/>
    <mergeCell ref="G14:I14"/>
    <mergeCell ref="M15:O15"/>
    <mergeCell ref="M16:O16"/>
    <mergeCell ref="J11:L11"/>
    <mergeCell ref="J12:L12"/>
    <mergeCell ref="J13:L13"/>
    <mergeCell ref="J14:L14"/>
    <mergeCell ref="G15:I15"/>
    <mergeCell ref="G16:I16"/>
    <mergeCell ref="J15:L15"/>
    <mergeCell ref="J16:L16"/>
    <mergeCell ref="P15:R15"/>
    <mergeCell ref="P16:R16"/>
    <mergeCell ref="M11:O11"/>
    <mergeCell ref="M12:O12"/>
    <mergeCell ref="P11:R11"/>
    <mergeCell ref="P12:R12"/>
    <mergeCell ref="P13:R13"/>
    <mergeCell ref="P14:R14"/>
    <mergeCell ref="M13:O13"/>
    <mergeCell ref="M14:O14"/>
    <mergeCell ref="S11:U11"/>
    <mergeCell ref="S12:U12"/>
    <mergeCell ref="S13:U13"/>
    <mergeCell ref="S14:U14"/>
    <mergeCell ref="Y15:AA15"/>
    <mergeCell ref="Y16:AA16"/>
    <mergeCell ref="V11:X11"/>
    <mergeCell ref="V12:X12"/>
    <mergeCell ref="V13:X13"/>
    <mergeCell ref="V14:X14"/>
    <mergeCell ref="S15:U15"/>
    <mergeCell ref="S16:U16"/>
    <mergeCell ref="V15:X15"/>
    <mergeCell ref="V16:X16"/>
    <mergeCell ref="AB15:AD15"/>
    <mergeCell ref="AB16:AD16"/>
    <mergeCell ref="Y11:AA11"/>
    <mergeCell ref="Y12:AA12"/>
    <mergeCell ref="AB11:AD11"/>
    <mergeCell ref="AB12:AD12"/>
    <mergeCell ref="AB13:AD13"/>
    <mergeCell ref="AB14:AD14"/>
    <mergeCell ref="Y13:AA13"/>
    <mergeCell ref="Y14:AA14"/>
    <mergeCell ref="AE11:AG11"/>
    <mergeCell ref="AH11:AJ11"/>
    <mergeCell ref="AK11:AM11"/>
    <mergeCell ref="AE12:AG12"/>
    <mergeCell ref="AH12:AJ12"/>
    <mergeCell ref="AK12:AM12"/>
    <mergeCell ref="AE13:AG13"/>
    <mergeCell ref="AH13:AJ13"/>
    <mergeCell ref="AK13:AM13"/>
    <mergeCell ref="AE14:AG14"/>
    <mergeCell ref="AH14:AJ14"/>
    <mergeCell ref="AK14:AM14"/>
    <mergeCell ref="AO15:AR15"/>
    <mergeCell ref="AO16:AR16"/>
    <mergeCell ref="AE15:AG15"/>
    <mergeCell ref="AH15:AJ15"/>
    <mergeCell ref="AK15:AM15"/>
    <mergeCell ref="AE16:AG16"/>
    <mergeCell ref="AH16:AJ16"/>
    <mergeCell ref="AK16:AM16"/>
    <mergeCell ref="AO11:AR11"/>
    <mergeCell ref="AO12:AR12"/>
    <mergeCell ref="AO13:AR13"/>
    <mergeCell ref="AO14:AR14"/>
    <mergeCell ref="G20:I20"/>
    <mergeCell ref="G21:I21"/>
    <mergeCell ref="G22:I22"/>
    <mergeCell ref="G23:I23"/>
    <mergeCell ref="J24:L24"/>
    <mergeCell ref="J25:L25"/>
    <mergeCell ref="A24:F24"/>
    <mergeCell ref="G24:I24"/>
    <mergeCell ref="A25:F25"/>
    <mergeCell ref="G25:I25"/>
    <mergeCell ref="M22:O22"/>
    <mergeCell ref="M23:O23"/>
    <mergeCell ref="J20:L20"/>
    <mergeCell ref="J21:L21"/>
    <mergeCell ref="J22:L22"/>
    <mergeCell ref="J23:L23"/>
    <mergeCell ref="M24:O24"/>
    <mergeCell ref="M25:O25"/>
    <mergeCell ref="P20:R20"/>
    <mergeCell ref="P21:R21"/>
    <mergeCell ref="P22:R22"/>
    <mergeCell ref="P23:R23"/>
    <mergeCell ref="P24:R24"/>
    <mergeCell ref="P25:R25"/>
    <mergeCell ref="M20:O20"/>
    <mergeCell ref="M21:O21"/>
    <mergeCell ref="S20:U20"/>
    <mergeCell ref="S21:U21"/>
    <mergeCell ref="S22:U22"/>
    <mergeCell ref="S23:U23"/>
    <mergeCell ref="Y24:AA24"/>
    <mergeCell ref="Y25:AA25"/>
    <mergeCell ref="V20:X20"/>
    <mergeCell ref="V21:X21"/>
    <mergeCell ref="V22:X22"/>
    <mergeCell ref="V23:X23"/>
    <mergeCell ref="S24:U24"/>
    <mergeCell ref="S25:U25"/>
    <mergeCell ref="V24:X24"/>
    <mergeCell ref="V25:X25"/>
    <mergeCell ref="AB24:AD24"/>
    <mergeCell ref="AB25:AD25"/>
    <mergeCell ref="Y20:AA20"/>
    <mergeCell ref="Y21:AA21"/>
    <mergeCell ref="AB20:AD20"/>
    <mergeCell ref="AB21:AD21"/>
    <mergeCell ref="AB22:AD22"/>
    <mergeCell ref="AB23:AD23"/>
    <mergeCell ref="Y22:AA22"/>
    <mergeCell ref="Y23:AA23"/>
    <mergeCell ref="AE20:AG20"/>
    <mergeCell ref="AE21:AG21"/>
    <mergeCell ref="AE22:AG22"/>
    <mergeCell ref="AE23:AG23"/>
    <mergeCell ref="AK24:AM24"/>
    <mergeCell ref="AK25:AM25"/>
    <mergeCell ref="AH20:AJ20"/>
    <mergeCell ref="AH21:AJ21"/>
    <mergeCell ref="AH22:AJ22"/>
    <mergeCell ref="AH23:AJ23"/>
    <mergeCell ref="AE24:AG24"/>
    <mergeCell ref="AE25:AG25"/>
    <mergeCell ref="AH24:AJ24"/>
    <mergeCell ref="AH25:AJ25"/>
    <mergeCell ref="AO24:AR24"/>
    <mergeCell ref="AO25:AR25"/>
    <mergeCell ref="AK20:AM20"/>
    <mergeCell ref="AK21:AM21"/>
    <mergeCell ref="AO20:AR20"/>
    <mergeCell ref="AO21:AR21"/>
    <mergeCell ref="AO22:AR22"/>
    <mergeCell ref="AO23:AR23"/>
    <mergeCell ref="AK22:AM22"/>
    <mergeCell ref="AK23:AM23"/>
    <mergeCell ref="A35:F35"/>
    <mergeCell ref="A27:F27"/>
    <mergeCell ref="A28:F28"/>
    <mergeCell ref="A31:F31"/>
    <mergeCell ref="A32:F32"/>
    <mergeCell ref="A34:F34"/>
    <mergeCell ref="A30:D30"/>
    <mergeCell ref="J28:L28"/>
    <mergeCell ref="A29:X29"/>
    <mergeCell ref="G28:I28"/>
    <mergeCell ref="G31:I31"/>
    <mergeCell ref="M28:O28"/>
    <mergeCell ref="P28:R28"/>
    <mergeCell ref="S28:U28"/>
    <mergeCell ref="V28:X28"/>
    <mergeCell ref="AE29:AG29"/>
    <mergeCell ref="G32:I32"/>
    <mergeCell ref="G33:I33"/>
    <mergeCell ref="A33:F33"/>
    <mergeCell ref="AE31:AG31"/>
    <mergeCell ref="AE32:AG32"/>
    <mergeCell ref="AE33:AG33"/>
    <mergeCell ref="V31:X31"/>
    <mergeCell ref="Y31:AA31"/>
    <mergeCell ref="AB31:AD31"/>
    <mergeCell ref="Y28:AA28"/>
    <mergeCell ref="AB28:AD28"/>
    <mergeCell ref="AE28:AG28"/>
    <mergeCell ref="AH28:AJ28"/>
    <mergeCell ref="Y29:AA29"/>
    <mergeCell ref="AB29:AD29"/>
    <mergeCell ref="AH29:AJ29"/>
    <mergeCell ref="J31:L31"/>
    <mergeCell ref="M31:O31"/>
    <mergeCell ref="P31:R31"/>
    <mergeCell ref="S31:U31"/>
    <mergeCell ref="AH31:AJ31"/>
    <mergeCell ref="AE30:AG30"/>
    <mergeCell ref="AH30:AJ30"/>
    <mergeCell ref="AH33:AJ33"/>
    <mergeCell ref="AK31:AM31"/>
    <mergeCell ref="J32:L32"/>
    <mergeCell ref="M32:O32"/>
    <mergeCell ref="P32:R32"/>
    <mergeCell ref="S32:U32"/>
    <mergeCell ref="V32:X32"/>
    <mergeCell ref="Y32:AA32"/>
    <mergeCell ref="AB32:AD32"/>
    <mergeCell ref="AH32:AJ32"/>
    <mergeCell ref="V34:X34"/>
    <mergeCell ref="AH34:AJ34"/>
    <mergeCell ref="AK32:AM32"/>
    <mergeCell ref="J33:L33"/>
    <mergeCell ref="M33:O33"/>
    <mergeCell ref="P33:R33"/>
    <mergeCell ref="S33:U33"/>
    <mergeCell ref="V33:X33"/>
    <mergeCell ref="Y33:AA33"/>
    <mergeCell ref="AB33:AD33"/>
    <mergeCell ref="J34:L34"/>
    <mergeCell ref="M34:O34"/>
    <mergeCell ref="P34:R34"/>
    <mergeCell ref="S34:U34"/>
    <mergeCell ref="AE35:AG35"/>
    <mergeCell ref="AH35:AJ35"/>
    <mergeCell ref="AO34:AR34"/>
    <mergeCell ref="AO35:AR35"/>
    <mergeCell ref="AE34:AG34"/>
    <mergeCell ref="AK35:AM35"/>
    <mergeCell ref="AK34:AM34"/>
    <mergeCell ref="AO30:AR30"/>
    <mergeCell ref="AK33:AM33"/>
    <mergeCell ref="AO28:AR28"/>
    <mergeCell ref="AO31:AR31"/>
    <mergeCell ref="AO32:AR32"/>
    <mergeCell ref="AO33:AR33"/>
    <mergeCell ref="AO29:AR29"/>
    <mergeCell ref="AK28:AM28"/>
    <mergeCell ref="AK29:AM29"/>
    <mergeCell ref="AK30:AM30"/>
    <mergeCell ref="I41:S41"/>
    <mergeCell ref="T41:U41"/>
    <mergeCell ref="W41:Z41"/>
    <mergeCell ref="AA41:AB41"/>
    <mergeCell ref="J35:L35"/>
    <mergeCell ref="M35:O35"/>
    <mergeCell ref="P35:R35"/>
    <mergeCell ref="S35:U35"/>
    <mergeCell ref="V35:X35"/>
    <mergeCell ref="A43:F43"/>
    <mergeCell ref="A50:F50"/>
    <mergeCell ref="I50:S50"/>
    <mergeCell ref="T50:U50"/>
    <mergeCell ref="M43:O43"/>
    <mergeCell ref="P43:R43"/>
    <mergeCell ref="S43:U43"/>
    <mergeCell ref="G44:I44"/>
    <mergeCell ref="G46:I46"/>
    <mergeCell ref="A58:F58"/>
    <mergeCell ref="I58:S58"/>
    <mergeCell ref="AE51:AG51"/>
    <mergeCell ref="A53:F53"/>
    <mergeCell ref="G53:I53"/>
    <mergeCell ref="J53:L53"/>
    <mergeCell ref="M53:O53"/>
    <mergeCell ref="P53:R53"/>
    <mergeCell ref="S53:U53"/>
    <mergeCell ref="G54:I54"/>
    <mergeCell ref="A52:F52"/>
    <mergeCell ref="G52:I52"/>
    <mergeCell ref="A54:F54"/>
    <mergeCell ref="P52:R52"/>
    <mergeCell ref="M52:O52"/>
    <mergeCell ref="J54:L54"/>
    <mergeCell ref="M54:O54"/>
    <mergeCell ref="P54:R54"/>
    <mergeCell ref="S52:U52"/>
    <mergeCell ref="V52:X52"/>
    <mergeCell ref="Y52:AA52"/>
    <mergeCell ref="J52:L52"/>
    <mergeCell ref="A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O62:AR62"/>
    <mergeCell ref="A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O63:AR63"/>
    <mergeCell ref="Y64:AA64"/>
    <mergeCell ref="A64:F64"/>
    <mergeCell ref="G64:I64"/>
    <mergeCell ref="J64:L64"/>
    <mergeCell ref="M64:O64"/>
    <mergeCell ref="AO64:AR64"/>
    <mergeCell ref="A65:F65"/>
    <mergeCell ref="G65:I65"/>
    <mergeCell ref="AB64:AD64"/>
    <mergeCell ref="AE64:AG64"/>
    <mergeCell ref="AH64:AJ64"/>
    <mergeCell ref="AK64:AM64"/>
    <mergeCell ref="P64:R64"/>
    <mergeCell ref="S64:U64"/>
    <mergeCell ref="V64:X64"/>
    <mergeCell ref="J65:L65"/>
    <mergeCell ref="M65:O65"/>
    <mergeCell ref="Y85:AA85"/>
    <mergeCell ref="AB85:AD85"/>
    <mergeCell ref="P65:R65"/>
    <mergeCell ref="S65:U65"/>
    <mergeCell ref="V65:X65"/>
    <mergeCell ref="P85:R85"/>
    <mergeCell ref="S85:U85"/>
    <mergeCell ref="V85:X85"/>
    <mergeCell ref="A85:F85"/>
    <mergeCell ref="G85:I85"/>
    <mergeCell ref="J85:L85"/>
    <mergeCell ref="M85:O85"/>
    <mergeCell ref="AS83:AT83"/>
    <mergeCell ref="AH65:AJ65"/>
    <mergeCell ref="Y65:AA65"/>
    <mergeCell ref="AK65:AM65"/>
    <mergeCell ref="AE65:AG65"/>
    <mergeCell ref="AB65:AD65"/>
    <mergeCell ref="AO65:AR65"/>
    <mergeCell ref="AA69:AB69"/>
    <mergeCell ref="A67:AD67"/>
    <mergeCell ref="AE67:AH67"/>
    <mergeCell ref="A66:F66"/>
    <mergeCell ref="A69:F69"/>
    <mergeCell ref="I69:S69"/>
    <mergeCell ref="T69:U69"/>
    <mergeCell ref="P66:R66"/>
    <mergeCell ref="S66:U66"/>
    <mergeCell ref="W69:Z69"/>
    <mergeCell ref="S70:U70"/>
    <mergeCell ref="V70:X70"/>
    <mergeCell ref="G66:I66"/>
    <mergeCell ref="J66:L66"/>
    <mergeCell ref="M66:O66"/>
    <mergeCell ref="G70:I70"/>
    <mergeCell ref="J70:L70"/>
    <mergeCell ref="M70:O70"/>
    <mergeCell ref="P70:R70"/>
    <mergeCell ref="Y70:AA70"/>
    <mergeCell ref="AB70:AD70"/>
    <mergeCell ref="AE70:AG70"/>
    <mergeCell ref="AH70:AJ70"/>
    <mergeCell ref="AK70:AM70"/>
    <mergeCell ref="AO70:AR70"/>
    <mergeCell ref="A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O71:AR71"/>
    <mergeCell ref="A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O72:AR72"/>
    <mergeCell ref="A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E75:AG75"/>
    <mergeCell ref="AK74:AM74"/>
    <mergeCell ref="AH74:AJ74"/>
    <mergeCell ref="AO74:AR74"/>
    <mergeCell ref="A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78:F78"/>
    <mergeCell ref="G78:I78"/>
    <mergeCell ref="J78:L78"/>
    <mergeCell ref="M78:O78"/>
    <mergeCell ref="P78:R78"/>
    <mergeCell ref="S78:U78"/>
    <mergeCell ref="V78:X78"/>
    <mergeCell ref="Y78:AA78"/>
    <mergeCell ref="P79:R79"/>
    <mergeCell ref="S79:U79"/>
    <mergeCell ref="V79:X79"/>
    <mergeCell ref="Y79:AA79"/>
    <mergeCell ref="A79:F79"/>
    <mergeCell ref="G79:I79"/>
    <mergeCell ref="J79:L79"/>
    <mergeCell ref="M79:O79"/>
    <mergeCell ref="Y80:AA80"/>
    <mergeCell ref="G80:I80"/>
    <mergeCell ref="J80:L80"/>
    <mergeCell ref="M80:O80"/>
    <mergeCell ref="A80:F80"/>
    <mergeCell ref="AS71:AT71"/>
    <mergeCell ref="AS70:AT70"/>
    <mergeCell ref="AB80:AD80"/>
    <mergeCell ref="AE80:AG80"/>
    <mergeCell ref="AH80:AJ80"/>
    <mergeCell ref="AK80:AM80"/>
    <mergeCell ref="P80:R80"/>
    <mergeCell ref="S80:U80"/>
    <mergeCell ref="V80:X80"/>
    <mergeCell ref="AB90:AD90"/>
    <mergeCell ref="AE90:AG90"/>
    <mergeCell ref="AH90:AJ90"/>
    <mergeCell ref="AK90:AM90"/>
    <mergeCell ref="P90:R90"/>
    <mergeCell ref="S90:U90"/>
    <mergeCell ref="V90:X90"/>
    <mergeCell ref="Y90:AA90"/>
    <mergeCell ref="G90:I90"/>
    <mergeCell ref="J90:L90"/>
    <mergeCell ref="M90:O90"/>
    <mergeCell ref="A89:F90"/>
    <mergeCell ref="S81:U81"/>
    <mergeCell ref="V81:X81"/>
    <mergeCell ref="Y81:AA81"/>
    <mergeCell ref="AB81:AD81"/>
    <mergeCell ref="A81:F81"/>
    <mergeCell ref="G81:I81"/>
    <mergeCell ref="J81:L81"/>
    <mergeCell ref="M81:O81"/>
    <mergeCell ref="A82:F82"/>
    <mergeCell ref="G82:I82"/>
    <mergeCell ref="J82:L82"/>
    <mergeCell ref="M82:O82"/>
    <mergeCell ref="AN85:AR85"/>
    <mergeCell ref="P82:R82"/>
    <mergeCell ref="S82:U82"/>
    <mergeCell ref="V82:X82"/>
    <mergeCell ref="Y82:AA82"/>
    <mergeCell ref="AB82:AD82"/>
    <mergeCell ref="AE82:AG82"/>
    <mergeCell ref="AH82:AJ82"/>
    <mergeCell ref="AK82:AM82"/>
    <mergeCell ref="AO83:AR83"/>
    <mergeCell ref="A87:N87"/>
    <mergeCell ref="O87:P87"/>
    <mergeCell ref="M88:P88"/>
    <mergeCell ref="AN86:AR86"/>
    <mergeCell ref="AK86:AM86"/>
    <mergeCell ref="AH86:AJ86"/>
    <mergeCell ref="T87:X87"/>
    <mergeCell ref="R87:S87"/>
    <mergeCell ref="Y87:Z87"/>
    <mergeCell ref="Q88:S88"/>
    <mergeCell ref="A73:F73"/>
    <mergeCell ref="G73:I73"/>
    <mergeCell ref="J73:L73"/>
    <mergeCell ref="M73:O73"/>
    <mergeCell ref="AK81:AM81"/>
    <mergeCell ref="P81:R81"/>
    <mergeCell ref="AK73:AM73"/>
    <mergeCell ref="P73:R73"/>
    <mergeCell ref="S73:U73"/>
    <mergeCell ref="V73:X73"/>
    <mergeCell ref="Y73:AA73"/>
    <mergeCell ref="AB73:AD73"/>
    <mergeCell ref="AE73:AG73"/>
    <mergeCell ref="AH73:AJ73"/>
    <mergeCell ref="AB77:AD77"/>
    <mergeCell ref="AE81:AG81"/>
    <mergeCell ref="AH81:AJ81"/>
    <mergeCell ref="AB76:AD76"/>
    <mergeCell ref="AE76:AG76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O9:AR9"/>
    <mergeCell ref="AO82:AR82"/>
    <mergeCell ref="AO81:AR81"/>
    <mergeCell ref="AO80:AR80"/>
    <mergeCell ref="AO77:AR77"/>
    <mergeCell ref="AO79:AR79"/>
    <mergeCell ref="AO78:AR78"/>
    <mergeCell ref="AK79:AM79"/>
    <mergeCell ref="AO84:AR84"/>
    <mergeCell ref="AS84:AT84"/>
    <mergeCell ref="A83:F83"/>
    <mergeCell ref="G83:I83"/>
    <mergeCell ref="J83:L83"/>
    <mergeCell ref="M83:O83"/>
    <mergeCell ref="P83:R83"/>
    <mergeCell ref="S83:U83"/>
    <mergeCell ref="V83:X83"/>
    <mergeCell ref="Y83:AA83"/>
    <mergeCell ref="G17:I17"/>
    <mergeCell ref="J17:L17"/>
    <mergeCell ref="M17:O17"/>
    <mergeCell ref="P17:R17"/>
    <mergeCell ref="S17:U17"/>
    <mergeCell ref="V17:X17"/>
    <mergeCell ref="Y17:AA17"/>
    <mergeCell ref="P39:R39"/>
    <mergeCell ref="S39:U39"/>
    <mergeCell ref="AB17:AD17"/>
    <mergeCell ref="AE17:AG17"/>
    <mergeCell ref="AH17:AJ17"/>
    <mergeCell ref="AK17:AM17"/>
    <mergeCell ref="AO17:AR17"/>
    <mergeCell ref="A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O26:AR26"/>
    <mergeCell ref="A39:F39"/>
    <mergeCell ref="G39:I39"/>
    <mergeCell ref="J39:L39"/>
    <mergeCell ref="M39:O39"/>
    <mergeCell ref="V39:X39"/>
    <mergeCell ref="Y39:AA39"/>
    <mergeCell ref="AB39:AD39"/>
    <mergeCell ref="AE39:AG39"/>
    <mergeCell ref="AH39:AJ39"/>
    <mergeCell ref="AK39:AM39"/>
    <mergeCell ref="AO39:AR39"/>
    <mergeCell ref="A48:F48"/>
    <mergeCell ref="G48:I48"/>
    <mergeCell ref="J48:L48"/>
    <mergeCell ref="M48:O48"/>
    <mergeCell ref="P48:R48"/>
    <mergeCell ref="S48:U48"/>
    <mergeCell ref="V48:X48"/>
    <mergeCell ref="AB48:AD48"/>
    <mergeCell ref="AE48:AG48"/>
    <mergeCell ref="AH48:AJ48"/>
    <mergeCell ref="AK48:AM48"/>
    <mergeCell ref="AO48:AR48"/>
    <mergeCell ref="A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O49:AR49"/>
    <mergeCell ref="AO56:AR56"/>
    <mergeCell ref="A57:F57"/>
    <mergeCell ref="G57:I57"/>
    <mergeCell ref="J57:L57"/>
    <mergeCell ref="M57:O57"/>
    <mergeCell ref="P57:R57"/>
    <mergeCell ref="S57:U57"/>
    <mergeCell ref="V57:X57"/>
    <mergeCell ref="Y57:AA57"/>
    <mergeCell ref="AE57:AG57"/>
    <mergeCell ref="AH57:AJ57"/>
    <mergeCell ref="AK57:AM57"/>
    <mergeCell ref="AO57:AR57"/>
    <mergeCell ref="AK76:AM76"/>
    <mergeCell ref="AH76:AJ76"/>
    <mergeCell ref="AO73:AR73"/>
    <mergeCell ref="AO76:AR76"/>
    <mergeCell ref="AH75:AJ75"/>
    <mergeCell ref="AK75:AM75"/>
    <mergeCell ref="AO75:AR75"/>
    <mergeCell ref="P76:R76"/>
    <mergeCell ref="S76:U76"/>
    <mergeCell ref="V76:X76"/>
    <mergeCell ref="Y76:AA76"/>
    <mergeCell ref="A77:F77"/>
    <mergeCell ref="G77:I77"/>
    <mergeCell ref="J77:L77"/>
    <mergeCell ref="M77:O77"/>
    <mergeCell ref="P77:R77"/>
    <mergeCell ref="S77:U77"/>
    <mergeCell ref="V77:X77"/>
    <mergeCell ref="Y77:AA77"/>
    <mergeCell ref="AE86:AG86"/>
    <mergeCell ref="AE77:AG77"/>
    <mergeCell ref="AH77:AJ77"/>
    <mergeCell ref="AK77:AM77"/>
    <mergeCell ref="AE84:AG84"/>
    <mergeCell ref="AH84:AJ84"/>
    <mergeCell ref="AK84:AM84"/>
    <mergeCell ref="AE83:AG83"/>
    <mergeCell ref="AH83:AJ83"/>
    <mergeCell ref="AK83:AM83"/>
    <mergeCell ref="AS80:AT80"/>
    <mergeCell ref="AS81:AT81"/>
    <mergeCell ref="A88:L88"/>
    <mergeCell ref="A86:F86"/>
    <mergeCell ref="M86:O86"/>
    <mergeCell ref="P86:R86"/>
    <mergeCell ref="S86:U86"/>
    <mergeCell ref="V86:X86"/>
    <mergeCell ref="Y86:AA86"/>
    <mergeCell ref="AB86:AD86"/>
    <mergeCell ref="AK78:AM78"/>
    <mergeCell ref="AD87:AR88"/>
    <mergeCell ref="AS72:AT72"/>
    <mergeCell ref="AS73:AT73"/>
    <mergeCell ref="AS74:AT74"/>
    <mergeCell ref="AS75:AT75"/>
    <mergeCell ref="AS76:AT76"/>
    <mergeCell ref="AS77:AT77"/>
    <mergeCell ref="AS78:AT78"/>
    <mergeCell ref="AS79:AT79"/>
    <mergeCell ref="AB84:AD84"/>
    <mergeCell ref="AB78:AD78"/>
    <mergeCell ref="AE78:AG78"/>
    <mergeCell ref="AH78:AJ78"/>
    <mergeCell ref="AB83:AD83"/>
    <mergeCell ref="AE79:AG79"/>
    <mergeCell ref="AH79:AJ79"/>
    <mergeCell ref="AB79:AD79"/>
    <mergeCell ref="P84:R84"/>
    <mergeCell ref="S84:U84"/>
    <mergeCell ref="V84:X84"/>
    <mergeCell ref="Y84:AA84"/>
    <mergeCell ref="A84:F84"/>
    <mergeCell ref="G84:I84"/>
    <mergeCell ref="J84:L84"/>
    <mergeCell ref="M84:O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T53"/>
  <sheetViews>
    <sheetView workbookViewId="0" topLeftCell="A1">
      <pane ySplit="5" topLeftCell="BM6" activePane="bottomLeft" state="frozen"/>
      <selection pane="topLeft" activeCell="A1" sqref="A1"/>
      <selection pane="bottomLeft" activeCell="X12" sqref="X12:Y12"/>
    </sheetView>
  </sheetViews>
  <sheetFormatPr defaultColWidth="9.00390625" defaultRowHeight="12.75"/>
  <cols>
    <col min="1" max="16384" width="3.25390625" style="0" customWidth="1"/>
  </cols>
  <sheetData>
    <row r="3" ht="13.5" thickBot="1"/>
    <row r="4" spans="1:36" ht="12.75">
      <c r="A4" s="461" t="s">
        <v>193</v>
      </c>
      <c r="B4" s="462"/>
      <c r="C4" s="462"/>
      <c r="D4" s="462"/>
      <c r="E4" s="462"/>
      <c r="F4" s="462"/>
      <c r="G4" s="462"/>
      <c r="H4" s="462"/>
      <c r="I4" s="462"/>
      <c r="J4" s="462"/>
      <c r="K4" s="463"/>
      <c r="L4" s="390" t="s">
        <v>210</v>
      </c>
      <c r="M4" s="325"/>
      <c r="N4" s="325"/>
      <c r="O4" s="325"/>
      <c r="P4" s="325"/>
      <c r="Q4" s="325"/>
      <c r="R4" s="325"/>
      <c r="S4" s="391"/>
      <c r="T4" s="390" t="s">
        <v>215</v>
      </c>
      <c r="U4" s="325"/>
      <c r="V4" s="325"/>
      <c r="W4" s="325"/>
      <c r="X4" s="325"/>
      <c r="Y4" s="325"/>
      <c r="Z4" s="325"/>
      <c r="AA4" s="391"/>
      <c r="AB4" s="390" t="s">
        <v>216</v>
      </c>
      <c r="AC4" s="325"/>
      <c r="AD4" s="325"/>
      <c r="AE4" s="325"/>
      <c r="AF4" s="325"/>
      <c r="AG4" s="325"/>
      <c r="AH4" s="325"/>
      <c r="AI4" s="391"/>
      <c r="AJ4" s="79"/>
    </row>
    <row r="5" spans="1:36" ht="13.5" thickBot="1">
      <c r="A5" s="392" t="s">
        <v>156</v>
      </c>
      <c r="B5" s="393"/>
      <c r="C5" s="393"/>
      <c r="D5" s="393"/>
      <c r="E5" s="393"/>
      <c r="F5" s="393"/>
      <c r="G5" s="393"/>
      <c r="H5" s="393"/>
      <c r="I5" s="393"/>
      <c r="J5" s="393" t="s">
        <v>33</v>
      </c>
      <c r="K5" s="394"/>
      <c r="L5" s="392" t="s">
        <v>117</v>
      </c>
      <c r="M5" s="393"/>
      <c r="N5" s="393" t="s">
        <v>113</v>
      </c>
      <c r="O5" s="393"/>
      <c r="P5" s="393" t="s">
        <v>114</v>
      </c>
      <c r="Q5" s="393"/>
      <c r="R5" s="393" t="s">
        <v>115</v>
      </c>
      <c r="S5" s="394"/>
      <c r="T5" s="392" t="s">
        <v>117</v>
      </c>
      <c r="U5" s="393"/>
      <c r="V5" s="393" t="s">
        <v>113</v>
      </c>
      <c r="W5" s="393"/>
      <c r="X5" s="393" t="s">
        <v>114</v>
      </c>
      <c r="Y5" s="393"/>
      <c r="Z5" s="393" t="s">
        <v>115</v>
      </c>
      <c r="AA5" s="394"/>
      <c r="AB5" s="392" t="s">
        <v>117</v>
      </c>
      <c r="AC5" s="393"/>
      <c r="AD5" s="393" t="s">
        <v>113</v>
      </c>
      <c r="AE5" s="393"/>
      <c r="AF5" s="393" t="s">
        <v>114</v>
      </c>
      <c r="AG5" s="393"/>
      <c r="AH5" s="393" t="s">
        <v>115</v>
      </c>
      <c r="AI5" s="394"/>
      <c r="AJ5" s="79"/>
    </row>
    <row r="6" spans="1:36" ht="13.5" thickBot="1">
      <c r="A6" s="401" t="s">
        <v>209</v>
      </c>
      <c r="B6" s="402"/>
      <c r="C6" s="402"/>
      <c r="D6" s="402"/>
      <c r="E6" s="402"/>
      <c r="F6" s="402"/>
      <c r="G6" s="402"/>
      <c r="H6" s="402"/>
      <c r="I6" s="402"/>
      <c r="J6" s="403">
        <f>SUM(L6:S6)</f>
        <v>5.075000000000001</v>
      </c>
      <c r="K6" s="404"/>
      <c r="L6" s="395">
        <f>3+AB45</f>
        <v>5.075000000000001</v>
      </c>
      <c r="M6" s="396"/>
      <c r="N6" s="87">
        <v>0</v>
      </c>
      <c r="O6" s="87"/>
      <c r="P6" s="398">
        <v>0</v>
      </c>
      <c r="Q6" s="407"/>
      <c r="R6" s="398">
        <v>0</v>
      </c>
      <c r="S6" s="399"/>
      <c r="T6" s="400"/>
      <c r="U6" s="396"/>
      <c r="V6" s="87"/>
      <c r="W6" s="87"/>
      <c r="X6" s="87"/>
      <c r="Y6" s="87"/>
      <c r="Z6" s="87"/>
      <c r="AA6" s="397"/>
      <c r="AB6" s="395"/>
      <c r="AC6" s="396"/>
      <c r="AD6" s="87"/>
      <c r="AE6" s="87"/>
      <c r="AF6" s="87"/>
      <c r="AG6" s="87"/>
      <c r="AH6" s="87"/>
      <c r="AI6" s="397"/>
      <c r="AJ6" s="80"/>
    </row>
    <row r="7" spans="1:36" ht="12.75" customHeight="1">
      <c r="A7" s="451" t="s">
        <v>290</v>
      </c>
      <c r="B7" s="452"/>
      <c r="C7" s="452"/>
      <c r="D7" s="452"/>
      <c r="E7" s="452"/>
      <c r="F7" s="452"/>
      <c r="G7" s="452"/>
      <c r="H7" s="452"/>
      <c r="I7" s="452"/>
      <c r="J7" s="453">
        <f aca="true" t="shared" si="0" ref="J7:J44">SUM(L7:S7)</f>
        <v>5.075000000000001</v>
      </c>
      <c r="K7" s="454"/>
      <c r="L7" s="405">
        <f>L6+T7-AB7</f>
        <v>5.075000000000001</v>
      </c>
      <c r="M7" s="406"/>
      <c r="N7" s="455">
        <f aca="true" t="shared" si="1" ref="N7:N44">N6+V7-AD7</f>
        <v>0</v>
      </c>
      <c r="O7" s="406"/>
      <c r="P7" s="455">
        <f aca="true" t="shared" si="2" ref="P7:P44">P6+X7-AF7</f>
        <v>0</v>
      </c>
      <c r="Q7" s="406"/>
      <c r="R7" s="455">
        <f aca="true" t="shared" si="3" ref="R7:R44">R6+Z7-AH7</f>
        <v>0</v>
      </c>
      <c r="S7" s="456"/>
      <c r="T7" s="386"/>
      <c r="U7" s="387"/>
      <c r="V7" s="388"/>
      <c r="W7" s="388"/>
      <c r="X7" s="388"/>
      <c r="Y7" s="388"/>
      <c r="Z7" s="388"/>
      <c r="AA7" s="389"/>
      <c r="AB7" s="386"/>
      <c r="AC7" s="387"/>
      <c r="AD7" s="388"/>
      <c r="AE7" s="388"/>
      <c r="AF7" s="388"/>
      <c r="AG7" s="388"/>
      <c r="AH7" s="388"/>
      <c r="AI7" s="389"/>
      <c r="AJ7" s="344" t="s">
        <v>336</v>
      </c>
    </row>
    <row r="8" spans="1:36" ht="12.75">
      <c r="A8" s="447" t="s">
        <v>291</v>
      </c>
      <c r="B8" s="420"/>
      <c r="C8" s="420"/>
      <c r="D8" s="420"/>
      <c r="E8" s="420"/>
      <c r="F8" s="420"/>
      <c r="G8" s="420"/>
      <c r="H8" s="420"/>
      <c r="I8" s="420"/>
      <c r="J8" s="419">
        <f t="shared" si="0"/>
        <v>5.075000000000001</v>
      </c>
      <c r="K8" s="421"/>
      <c r="L8" s="422">
        <f aca="true" t="shared" si="4" ref="L8:L44">L7+T8-AB8</f>
        <v>5.075000000000001</v>
      </c>
      <c r="M8" s="423"/>
      <c r="N8" s="424">
        <f t="shared" si="1"/>
        <v>0</v>
      </c>
      <c r="O8" s="423"/>
      <c r="P8" s="424">
        <f t="shared" si="2"/>
        <v>0</v>
      </c>
      <c r="Q8" s="423"/>
      <c r="R8" s="424">
        <f t="shared" si="3"/>
        <v>0</v>
      </c>
      <c r="S8" s="425"/>
      <c r="T8" s="384"/>
      <c r="U8" s="385"/>
      <c r="V8" s="365"/>
      <c r="W8" s="365"/>
      <c r="X8" s="365"/>
      <c r="Y8" s="365"/>
      <c r="Z8" s="365"/>
      <c r="AA8" s="367"/>
      <c r="AB8" s="384"/>
      <c r="AC8" s="385"/>
      <c r="AD8" s="365"/>
      <c r="AE8" s="365"/>
      <c r="AF8" s="365"/>
      <c r="AG8" s="365"/>
      <c r="AH8" s="365"/>
      <c r="AI8" s="367"/>
      <c r="AJ8" s="345"/>
    </row>
    <row r="9" spans="1:37" ht="12.75">
      <c r="A9" s="447" t="s">
        <v>292</v>
      </c>
      <c r="B9" s="420"/>
      <c r="C9" s="420"/>
      <c r="D9" s="420"/>
      <c r="E9" s="420"/>
      <c r="F9" s="420"/>
      <c r="G9" s="420"/>
      <c r="H9" s="420"/>
      <c r="I9" s="420"/>
      <c r="J9" s="419">
        <f t="shared" si="0"/>
        <v>5.075000000000001</v>
      </c>
      <c r="K9" s="421"/>
      <c r="L9" s="422">
        <f t="shared" si="4"/>
        <v>5.075000000000001</v>
      </c>
      <c r="M9" s="423"/>
      <c r="N9" s="424">
        <f t="shared" si="1"/>
        <v>0</v>
      </c>
      <c r="O9" s="423"/>
      <c r="P9" s="424">
        <f t="shared" si="2"/>
        <v>0</v>
      </c>
      <c r="Q9" s="423"/>
      <c r="R9" s="424">
        <f t="shared" si="3"/>
        <v>0</v>
      </c>
      <c r="S9" s="425"/>
      <c r="T9" s="384">
        <v>0.3</v>
      </c>
      <c r="U9" s="385"/>
      <c r="V9" s="365"/>
      <c r="W9" s="365"/>
      <c r="X9" s="365"/>
      <c r="Y9" s="365"/>
      <c r="Z9" s="365"/>
      <c r="AA9" s="367"/>
      <c r="AB9" s="384">
        <v>0.3</v>
      </c>
      <c r="AC9" s="385"/>
      <c r="AD9" s="365"/>
      <c r="AE9" s="365"/>
      <c r="AF9" s="365"/>
      <c r="AG9" s="365"/>
      <c r="AH9" s="365"/>
      <c r="AI9" s="367"/>
      <c r="AJ9" s="345"/>
      <c r="AK9" t="s">
        <v>338</v>
      </c>
    </row>
    <row r="10" spans="1:46" ht="12.75">
      <c r="A10" s="447" t="s">
        <v>85</v>
      </c>
      <c r="B10" s="420"/>
      <c r="C10" s="420"/>
      <c r="D10" s="420"/>
      <c r="E10" s="420"/>
      <c r="F10" s="420"/>
      <c r="G10" s="420"/>
      <c r="H10" s="420"/>
      <c r="I10" s="420"/>
      <c r="J10" s="419">
        <f t="shared" si="0"/>
        <v>5.075000000000001</v>
      </c>
      <c r="K10" s="421"/>
      <c r="L10" s="422">
        <f t="shared" si="4"/>
        <v>5.075000000000001</v>
      </c>
      <c r="M10" s="423"/>
      <c r="N10" s="424">
        <f t="shared" si="1"/>
        <v>0</v>
      </c>
      <c r="O10" s="423"/>
      <c r="P10" s="424">
        <f t="shared" si="2"/>
        <v>0</v>
      </c>
      <c r="Q10" s="423"/>
      <c r="R10" s="424">
        <f t="shared" si="3"/>
        <v>0</v>
      </c>
      <c r="S10" s="425"/>
      <c r="T10" s="384">
        <v>0.25</v>
      </c>
      <c r="U10" s="385"/>
      <c r="V10" s="365"/>
      <c r="W10" s="365"/>
      <c r="X10" s="365"/>
      <c r="Y10" s="365"/>
      <c r="Z10" s="365"/>
      <c r="AA10" s="367"/>
      <c r="AB10" s="384">
        <v>0.25</v>
      </c>
      <c r="AC10" s="385"/>
      <c r="AD10" s="365"/>
      <c r="AE10" s="365"/>
      <c r="AF10" s="365"/>
      <c r="AG10" s="365"/>
      <c r="AH10" s="365"/>
      <c r="AI10" s="367"/>
      <c r="AJ10" s="345"/>
      <c r="AT10" t="s">
        <v>155</v>
      </c>
    </row>
    <row r="11" spans="1:36" ht="12.75">
      <c r="A11" s="447" t="s">
        <v>293</v>
      </c>
      <c r="B11" s="420"/>
      <c r="C11" s="420"/>
      <c r="D11" s="420"/>
      <c r="E11" s="420"/>
      <c r="F11" s="420"/>
      <c r="G11" s="420"/>
      <c r="H11" s="420"/>
      <c r="I11" s="420"/>
      <c r="J11" s="419">
        <f t="shared" si="0"/>
        <v>5.075000000000001</v>
      </c>
      <c r="K11" s="421"/>
      <c r="L11" s="422">
        <f t="shared" si="4"/>
        <v>5.075000000000001</v>
      </c>
      <c r="M11" s="423"/>
      <c r="N11" s="424">
        <f t="shared" si="1"/>
        <v>0</v>
      </c>
      <c r="O11" s="423"/>
      <c r="P11" s="424">
        <f t="shared" si="2"/>
        <v>0</v>
      </c>
      <c r="Q11" s="423"/>
      <c r="R11" s="424">
        <f t="shared" si="3"/>
        <v>0</v>
      </c>
      <c r="S11" s="425"/>
      <c r="T11" s="384">
        <v>0.05</v>
      </c>
      <c r="U11" s="385"/>
      <c r="V11" s="365"/>
      <c r="W11" s="365"/>
      <c r="X11" s="365"/>
      <c r="Y11" s="365"/>
      <c r="Z11" s="365"/>
      <c r="AA11" s="367"/>
      <c r="AB11" s="384">
        <v>0.05</v>
      </c>
      <c r="AC11" s="385"/>
      <c r="AD11" s="365"/>
      <c r="AE11" s="365"/>
      <c r="AF11" s="365"/>
      <c r="AG11" s="365"/>
      <c r="AH11" s="365"/>
      <c r="AI11" s="367"/>
      <c r="AJ11" s="345"/>
    </row>
    <row r="12" spans="1:37" ht="12.75">
      <c r="A12" s="447" t="s">
        <v>294</v>
      </c>
      <c r="B12" s="420"/>
      <c r="C12" s="420"/>
      <c r="D12" s="420"/>
      <c r="E12" s="420"/>
      <c r="F12" s="420"/>
      <c r="G12" s="420"/>
      <c r="H12" s="420"/>
      <c r="I12" s="420"/>
      <c r="J12" s="419">
        <f t="shared" si="0"/>
        <v>5.075000000000001</v>
      </c>
      <c r="K12" s="421"/>
      <c r="L12" s="422">
        <f t="shared" si="4"/>
        <v>5.025000000000001</v>
      </c>
      <c r="M12" s="423"/>
      <c r="N12" s="424">
        <f t="shared" si="1"/>
        <v>0.05</v>
      </c>
      <c r="O12" s="423"/>
      <c r="P12" s="424">
        <f t="shared" si="2"/>
        <v>0</v>
      </c>
      <c r="Q12" s="423"/>
      <c r="R12" s="424">
        <f t="shared" si="3"/>
        <v>0</v>
      </c>
      <c r="S12" s="425"/>
      <c r="T12" s="384"/>
      <c r="U12" s="385"/>
      <c r="V12" s="328">
        <v>0.05</v>
      </c>
      <c r="W12" s="328"/>
      <c r="X12" s="365"/>
      <c r="Y12" s="365"/>
      <c r="Z12" s="365"/>
      <c r="AA12" s="367"/>
      <c r="AB12" s="375">
        <v>0.05</v>
      </c>
      <c r="AC12" s="376"/>
      <c r="AD12" s="365"/>
      <c r="AE12" s="365"/>
      <c r="AF12" s="365"/>
      <c r="AG12" s="365"/>
      <c r="AH12" s="365"/>
      <c r="AI12" s="367"/>
      <c r="AJ12" s="345"/>
      <c r="AK12" t="s">
        <v>323</v>
      </c>
    </row>
    <row r="13" spans="1:37" ht="12.75">
      <c r="A13" s="447" t="s">
        <v>297</v>
      </c>
      <c r="B13" s="420"/>
      <c r="C13" s="420"/>
      <c r="D13" s="420"/>
      <c r="E13" s="420"/>
      <c r="F13" s="420"/>
      <c r="G13" s="420"/>
      <c r="H13" s="420"/>
      <c r="I13" s="420"/>
      <c r="J13" s="419">
        <f t="shared" si="0"/>
        <v>5.075000000000001</v>
      </c>
      <c r="K13" s="421"/>
      <c r="L13" s="422">
        <f t="shared" si="4"/>
        <v>5.025000000000001</v>
      </c>
      <c r="M13" s="423"/>
      <c r="N13" s="424">
        <f t="shared" si="1"/>
        <v>0.05</v>
      </c>
      <c r="O13" s="423"/>
      <c r="P13" s="424">
        <f t="shared" si="2"/>
        <v>0</v>
      </c>
      <c r="Q13" s="423"/>
      <c r="R13" s="424">
        <f t="shared" si="3"/>
        <v>0</v>
      </c>
      <c r="S13" s="425"/>
      <c r="T13" s="384">
        <v>0.2</v>
      </c>
      <c r="U13" s="385"/>
      <c r="V13" s="365"/>
      <c r="W13" s="365"/>
      <c r="X13" s="365"/>
      <c r="Y13" s="365"/>
      <c r="Z13" s="365"/>
      <c r="AA13" s="367"/>
      <c r="AB13" s="384">
        <v>0.2</v>
      </c>
      <c r="AC13" s="385"/>
      <c r="AD13" s="365"/>
      <c r="AE13" s="365"/>
      <c r="AF13" s="365"/>
      <c r="AG13" s="365"/>
      <c r="AH13" s="365"/>
      <c r="AI13" s="367"/>
      <c r="AJ13" s="345"/>
      <c r="AK13" t="s">
        <v>321</v>
      </c>
    </row>
    <row r="14" spans="1:36" ht="12.75">
      <c r="A14" s="447" t="s">
        <v>343</v>
      </c>
      <c r="B14" s="420"/>
      <c r="C14" s="420"/>
      <c r="D14" s="420"/>
      <c r="E14" s="420"/>
      <c r="F14" s="420"/>
      <c r="G14" s="420"/>
      <c r="H14" s="420"/>
      <c r="I14" s="420"/>
      <c r="J14" s="419">
        <f t="shared" si="0"/>
        <v>5.075000000000001</v>
      </c>
      <c r="K14" s="421"/>
      <c r="L14" s="422">
        <f t="shared" si="4"/>
        <v>5.025000000000001</v>
      </c>
      <c r="M14" s="423"/>
      <c r="N14" s="424">
        <f t="shared" si="1"/>
        <v>0.05</v>
      </c>
      <c r="O14" s="423"/>
      <c r="P14" s="424">
        <f t="shared" si="2"/>
        <v>0</v>
      </c>
      <c r="Q14" s="423"/>
      <c r="R14" s="424">
        <f t="shared" si="3"/>
        <v>0</v>
      </c>
      <c r="S14" s="425"/>
      <c r="T14" s="384">
        <v>0.2</v>
      </c>
      <c r="U14" s="385"/>
      <c r="V14" s="365"/>
      <c r="W14" s="365"/>
      <c r="X14" s="365"/>
      <c r="Y14" s="365"/>
      <c r="Z14" s="365"/>
      <c r="AA14" s="367"/>
      <c r="AB14" s="384">
        <v>0.2</v>
      </c>
      <c r="AC14" s="385"/>
      <c r="AD14" s="365"/>
      <c r="AE14" s="365"/>
      <c r="AF14" s="365"/>
      <c r="AG14" s="365"/>
      <c r="AH14" s="365"/>
      <c r="AI14" s="367"/>
      <c r="AJ14" s="345"/>
    </row>
    <row r="15" spans="1:36" ht="12.75">
      <c r="A15" s="447" t="s">
        <v>89</v>
      </c>
      <c r="B15" s="420"/>
      <c r="C15" s="420"/>
      <c r="D15" s="420"/>
      <c r="E15" s="420"/>
      <c r="F15" s="420"/>
      <c r="G15" s="420"/>
      <c r="H15" s="420"/>
      <c r="I15" s="420"/>
      <c r="J15" s="419">
        <f t="shared" si="0"/>
        <v>5.075000000000001</v>
      </c>
      <c r="K15" s="421"/>
      <c r="L15" s="422">
        <f t="shared" si="4"/>
        <v>4.925000000000002</v>
      </c>
      <c r="M15" s="423"/>
      <c r="N15" s="424">
        <f t="shared" si="1"/>
        <v>0.05</v>
      </c>
      <c r="O15" s="423"/>
      <c r="P15" s="424">
        <f t="shared" si="2"/>
        <v>0</v>
      </c>
      <c r="Q15" s="423"/>
      <c r="R15" s="424">
        <f t="shared" si="3"/>
        <v>0.1</v>
      </c>
      <c r="S15" s="425"/>
      <c r="T15" s="460"/>
      <c r="U15" s="385"/>
      <c r="V15" s="365"/>
      <c r="W15" s="365"/>
      <c r="X15" s="365"/>
      <c r="Y15" s="365"/>
      <c r="Z15" s="328">
        <v>0.1</v>
      </c>
      <c r="AA15" s="330"/>
      <c r="AB15" s="341">
        <v>0.1</v>
      </c>
      <c r="AC15" s="329"/>
      <c r="AD15" s="365"/>
      <c r="AE15" s="365"/>
      <c r="AF15" s="365"/>
      <c r="AG15" s="365"/>
      <c r="AH15" s="365"/>
      <c r="AI15" s="367"/>
      <c r="AJ15" s="345"/>
    </row>
    <row r="16" spans="1:37" ht="12.75" customHeight="1" thickBot="1">
      <c r="A16" s="438" t="s">
        <v>295</v>
      </c>
      <c r="B16" s="439"/>
      <c r="C16" s="439"/>
      <c r="D16" s="439"/>
      <c r="E16" s="439"/>
      <c r="F16" s="439"/>
      <c r="G16" s="439"/>
      <c r="H16" s="439"/>
      <c r="I16" s="439"/>
      <c r="J16" s="440">
        <f t="shared" si="0"/>
        <v>5.075000000000001</v>
      </c>
      <c r="K16" s="441"/>
      <c r="L16" s="442">
        <f t="shared" si="4"/>
        <v>4.925000000000002</v>
      </c>
      <c r="M16" s="443"/>
      <c r="N16" s="444">
        <f t="shared" si="1"/>
        <v>0.05</v>
      </c>
      <c r="O16" s="443"/>
      <c r="P16" s="444">
        <f t="shared" si="2"/>
        <v>0</v>
      </c>
      <c r="Q16" s="443"/>
      <c r="R16" s="444">
        <f t="shared" si="3"/>
        <v>0.1</v>
      </c>
      <c r="S16" s="445"/>
      <c r="T16" s="409"/>
      <c r="U16" s="458"/>
      <c r="V16" s="459"/>
      <c r="W16" s="459"/>
      <c r="X16" s="382"/>
      <c r="Y16" s="382"/>
      <c r="Z16" s="382"/>
      <c r="AA16" s="383"/>
      <c r="AB16" s="360"/>
      <c r="AC16" s="361"/>
      <c r="AD16" s="363"/>
      <c r="AE16" s="363"/>
      <c r="AF16" s="382"/>
      <c r="AG16" s="382"/>
      <c r="AH16" s="382"/>
      <c r="AI16" s="383"/>
      <c r="AJ16" s="345"/>
      <c r="AK16" t="s">
        <v>322</v>
      </c>
    </row>
    <row r="17" spans="1:36" ht="12.75">
      <c r="A17" s="451" t="s">
        <v>296</v>
      </c>
      <c r="B17" s="452"/>
      <c r="C17" s="452"/>
      <c r="D17" s="452"/>
      <c r="E17" s="452"/>
      <c r="F17" s="452"/>
      <c r="G17" s="452"/>
      <c r="H17" s="452"/>
      <c r="I17" s="452"/>
      <c r="J17" s="453">
        <f t="shared" si="0"/>
        <v>5.075000000000001</v>
      </c>
      <c r="K17" s="454"/>
      <c r="L17" s="405">
        <f t="shared" si="4"/>
        <v>4.875000000000002</v>
      </c>
      <c r="M17" s="406"/>
      <c r="N17" s="455">
        <f t="shared" si="1"/>
        <v>0.1</v>
      </c>
      <c r="O17" s="406"/>
      <c r="P17" s="455">
        <f t="shared" si="2"/>
        <v>0</v>
      </c>
      <c r="Q17" s="406"/>
      <c r="R17" s="455">
        <f t="shared" si="3"/>
        <v>0.1</v>
      </c>
      <c r="S17" s="456"/>
      <c r="T17" s="457"/>
      <c r="U17" s="387"/>
      <c r="V17" s="449">
        <v>0.05</v>
      </c>
      <c r="W17" s="449"/>
      <c r="X17" s="449"/>
      <c r="Y17" s="449"/>
      <c r="Z17" s="449"/>
      <c r="AA17" s="450"/>
      <c r="AB17" s="377">
        <v>0.05</v>
      </c>
      <c r="AC17" s="378"/>
      <c r="AD17" s="379"/>
      <c r="AE17" s="379"/>
      <c r="AF17" s="379"/>
      <c r="AG17" s="379"/>
      <c r="AH17" s="380"/>
      <c r="AI17" s="381"/>
      <c r="AJ17" s="331" t="s">
        <v>337</v>
      </c>
    </row>
    <row r="18" spans="1:40" ht="12.75">
      <c r="A18" s="447" t="s">
        <v>298</v>
      </c>
      <c r="B18" s="420"/>
      <c r="C18" s="420"/>
      <c r="D18" s="420"/>
      <c r="E18" s="420"/>
      <c r="F18" s="420"/>
      <c r="G18" s="420"/>
      <c r="H18" s="420"/>
      <c r="I18" s="420"/>
      <c r="J18" s="419">
        <f t="shared" si="0"/>
        <v>5.075000000000001</v>
      </c>
      <c r="K18" s="421"/>
      <c r="L18" s="422">
        <f t="shared" si="4"/>
        <v>4.875000000000002</v>
      </c>
      <c r="M18" s="423"/>
      <c r="N18" s="424">
        <f t="shared" si="1"/>
        <v>0.1</v>
      </c>
      <c r="O18" s="423"/>
      <c r="P18" s="424">
        <f t="shared" si="2"/>
        <v>0</v>
      </c>
      <c r="Q18" s="423"/>
      <c r="R18" s="424">
        <f t="shared" si="3"/>
        <v>0.1</v>
      </c>
      <c r="S18" s="425"/>
      <c r="T18" s="448"/>
      <c r="U18" s="329"/>
      <c r="V18" s="328"/>
      <c r="W18" s="328"/>
      <c r="X18" s="328"/>
      <c r="Y18" s="328"/>
      <c r="Z18" s="328"/>
      <c r="AA18" s="330"/>
      <c r="AB18" s="375"/>
      <c r="AC18" s="376"/>
      <c r="AD18" s="328"/>
      <c r="AE18" s="328"/>
      <c r="AF18" s="328"/>
      <c r="AG18" s="328"/>
      <c r="AH18" s="328"/>
      <c r="AI18" s="330"/>
      <c r="AJ18" s="332"/>
      <c r="AN18" s="77"/>
    </row>
    <row r="19" spans="1:37" ht="12.75">
      <c r="A19" s="447" t="s">
        <v>95</v>
      </c>
      <c r="B19" s="420"/>
      <c r="C19" s="420"/>
      <c r="D19" s="420"/>
      <c r="E19" s="420"/>
      <c r="F19" s="420"/>
      <c r="G19" s="420"/>
      <c r="H19" s="420"/>
      <c r="I19" s="420"/>
      <c r="J19" s="419">
        <f t="shared" si="0"/>
        <v>5.075000000000002</v>
      </c>
      <c r="K19" s="421"/>
      <c r="L19" s="422">
        <f t="shared" si="4"/>
        <v>4.825000000000002</v>
      </c>
      <c r="M19" s="423"/>
      <c r="N19" s="424">
        <f t="shared" si="1"/>
        <v>0.15000000000000002</v>
      </c>
      <c r="O19" s="423"/>
      <c r="P19" s="424">
        <f t="shared" si="2"/>
        <v>0</v>
      </c>
      <c r="Q19" s="423"/>
      <c r="R19" s="424">
        <f t="shared" si="3"/>
        <v>0.1</v>
      </c>
      <c r="S19" s="425"/>
      <c r="T19" s="448"/>
      <c r="U19" s="329"/>
      <c r="V19" s="328">
        <v>0.05</v>
      </c>
      <c r="W19" s="328"/>
      <c r="X19" s="370"/>
      <c r="Y19" s="370"/>
      <c r="Z19" s="365"/>
      <c r="AA19" s="367"/>
      <c r="AB19" s="375">
        <v>0.05</v>
      </c>
      <c r="AC19" s="376"/>
      <c r="AD19" s="365"/>
      <c r="AE19" s="365"/>
      <c r="AF19" s="370"/>
      <c r="AG19" s="370"/>
      <c r="AH19" s="365"/>
      <c r="AI19" s="367"/>
      <c r="AJ19" s="332"/>
      <c r="AK19" t="s">
        <v>339</v>
      </c>
    </row>
    <row r="20" spans="1:36" ht="12.75">
      <c r="A20" s="447" t="s">
        <v>301</v>
      </c>
      <c r="B20" s="420"/>
      <c r="C20" s="420"/>
      <c r="D20" s="420"/>
      <c r="E20" s="420"/>
      <c r="F20" s="420"/>
      <c r="G20" s="420"/>
      <c r="H20" s="420"/>
      <c r="I20" s="420"/>
      <c r="J20" s="419">
        <f t="shared" si="0"/>
        <v>5.075000000000002</v>
      </c>
      <c r="K20" s="421"/>
      <c r="L20" s="422">
        <f>L19+T20-AB20</f>
        <v>4.825000000000002</v>
      </c>
      <c r="M20" s="423"/>
      <c r="N20" s="424">
        <f t="shared" si="1"/>
        <v>0.15000000000000002</v>
      </c>
      <c r="O20" s="423"/>
      <c r="P20" s="424">
        <f t="shared" si="2"/>
        <v>0</v>
      </c>
      <c r="Q20" s="423"/>
      <c r="R20" s="424">
        <f t="shared" si="3"/>
        <v>0.1</v>
      </c>
      <c r="S20" s="425"/>
      <c r="T20" s="427"/>
      <c r="U20" s="366"/>
      <c r="V20" s="365"/>
      <c r="W20" s="365"/>
      <c r="X20" s="365"/>
      <c r="Y20" s="365"/>
      <c r="Z20" s="328"/>
      <c r="AA20" s="330"/>
      <c r="AB20" s="373"/>
      <c r="AC20" s="374"/>
      <c r="AD20" s="328"/>
      <c r="AE20" s="328"/>
      <c r="AF20" s="365"/>
      <c r="AG20" s="365"/>
      <c r="AH20" s="365"/>
      <c r="AI20" s="367"/>
      <c r="AJ20" s="332"/>
    </row>
    <row r="21" spans="1:36" ht="12.75">
      <c r="A21" s="447" t="s">
        <v>299</v>
      </c>
      <c r="B21" s="420"/>
      <c r="C21" s="420"/>
      <c r="D21" s="420"/>
      <c r="E21" s="420"/>
      <c r="F21" s="420"/>
      <c r="G21" s="420"/>
      <c r="H21" s="420"/>
      <c r="I21" s="420"/>
      <c r="J21" s="419">
        <f t="shared" si="0"/>
        <v>5.075000000000001</v>
      </c>
      <c r="K21" s="421"/>
      <c r="L21" s="422">
        <f t="shared" si="4"/>
        <v>4.800000000000002</v>
      </c>
      <c r="M21" s="423"/>
      <c r="N21" s="424">
        <f t="shared" si="1"/>
        <v>0.17500000000000002</v>
      </c>
      <c r="O21" s="423"/>
      <c r="P21" s="424">
        <f t="shared" si="2"/>
        <v>0</v>
      </c>
      <c r="Q21" s="423"/>
      <c r="R21" s="424">
        <f t="shared" si="3"/>
        <v>0.1</v>
      </c>
      <c r="S21" s="425"/>
      <c r="T21" s="352"/>
      <c r="U21" s="328"/>
      <c r="V21" s="372">
        <v>0.025</v>
      </c>
      <c r="W21" s="354"/>
      <c r="X21" s="328"/>
      <c r="Y21" s="328"/>
      <c r="Z21" s="329"/>
      <c r="AA21" s="343"/>
      <c r="AB21" s="368">
        <v>0.025</v>
      </c>
      <c r="AC21" s="369"/>
      <c r="AD21" s="372"/>
      <c r="AE21" s="354"/>
      <c r="AF21" s="328"/>
      <c r="AG21" s="328"/>
      <c r="AH21" s="329"/>
      <c r="AI21" s="343"/>
      <c r="AJ21" s="332"/>
    </row>
    <row r="22" spans="1:36" ht="12.75">
      <c r="A22" s="447" t="s">
        <v>302</v>
      </c>
      <c r="B22" s="420"/>
      <c r="C22" s="420"/>
      <c r="D22" s="420"/>
      <c r="E22" s="420"/>
      <c r="F22" s="420"/>
      <c r="G22" s="420"/>
      <c r="H22" s="420"/>
      <c r="I22" s="420"/>
      <c r="J22" s="419">
        <f t="shared" si="0"/>
        <v>5.075000000000002</v>
      </c>
      <c r="K22" s="421"/>
      <c r="L22" s="422">
        <f t="shared" si="4"/>
        <v>4.750000000000002</v>
      </c>
      <c r="M22" s="423"/>
      <c r="N22" s="424">
        <f t="shared" si="1"/>
        <v>0.2</v>
      </c>
      <c r="O22" s="423"/>
      <c r="P22" s="424">
        <f t="shared" si="2"/>
        <v>0.025</v>
      </c>
      <c r="Q22" s="423"/>
      <c r="R22" s="424">
        <f t="shared" si="3"/>
        <v>0.1</v>
      </c>
      <c r="S22" s="425"/>
      <c r="T22" s="352"/>
      <c r="U22" s="328"/>
      <c r="V22" s="328">
        <v>0.025</v>
      </c>
      <c r="W22" s="328"/>
      <c r="X22" s="328">
        <v>0.025</v>
      </c>
      <c r="Y22" s="328"/>
      <c r="Z22" s="329"/>
      <c r="AA22" s="343"/>
      <c r="AB22" s="369">
        <v>0.05</v>
      </c>
      <c r="AC22" s="369"/>
      <c r="AD22" s="328"/>
      <c r="AE22" s="328"/>
      <c r="AF22" s="328"/>
      <c r="AG22" s="328"/>
      <c r="AH22" s="329"/>
      <c r="AI22" s="343"/>
      <c r="AJ22" s="332"/>
    </row>
    <row r="23" spans="1:37" ht="12.75">
      <c r="A23" s="447" t="s">
        <v>300</v>
      </c>
      <c r="B23" s="420"/>
      <c r="C23" s="420"/>
      <c r="D23" s="420"/>
      <c r="E23" s="420"/>
      <c r="F23" s="420"/>
      <c r="G23" s="420"/>
      <c r="H23" s="420"/>
      <c r="I23" s="420"/>
      <c r="J23" s="419">
        <f t="shared" si="0"/>
        <v>5.075000000000002</v>
      </c>
      <c r="K23" s="421"/>
      <c r="L23" s="422">
        <f t="shared" si="4"/>
        <v>4.750000000000002</v>
      </c>
      <c r="M23" s="423"/>
      <c r="N23" s="424">
        <f t="shared" si="1"/>
        <v>0.2</v>
      </c>
      <c r="O23" s="423"/>
      <c r="P23" s="424">
        <f t="shared" si="2"/>
        <v>0.025</v>
      </c>
      <c r="Q23" s="423"/>
      <c r="R23" s="424">
        <f t="shared" si="3"/>
        <v>0.1</v>
      </c>
      <c r="S23" s="425"/>
      <c r="T23" s="352"/>
      <c r="U23" s="328"/>
      <c r="V23" s="328"/>
      <c r="W23" s="328"/>
      <c r="X23" s="328"/>
      <c r="Y23" s="328"/>
      <c r="Z23" s="329"/>
      <c r="AA23" s="343"/>
      <c r="AB23" s="368"/>
      <c r="AC23" s="369"/>
      <c r="AD23" s="328"/>
      <c r="AE23" s="328"/>
      <c r="AF23" s="328"/>
      <c r="AG23" s="328"/>
      <c r="AH23" s="329"/>
      <c r="AI23" s="343"/>
      <c r="AJ23" s="332"/>
      <c r="AK23" t="s">
        <v>324</v>
      </c>
    </row>
    <row r="24" spans="1:36" ht="12.75">
      <c r="A24" s="447" t="s">
        <v>98</v>
      </c>
      <c r="B24" s="420"/>
      <c r="C24" s="420"/>
      <c r="D24" s="420"/>
      <c r="E24" s="420"/>
      <c r="F24" s="420"/>
      <c r="G24" s="420"/>
      <c r="H24" s="420"/>
      <c r="I24" s="420"/>
      <c r="J24" s="419">
        <f t="shared" si="0"/>
        <v>5.075000000000002</v>
      </c>
      <c r="K24" s="421"/>
      <c r="L24" s="422">
        <f>L23+T24-AB24</f>
        <v>4.650000000000002</v>
      </c>
      <c r="M24" s="423"/>
      <c r="N24" s="424">
        <f>N23+V24-AD24</f>
        <v>0.2</v>
      </c>
      <c r="O24" s="423"/>
      <c r="P24" s="424">
        <f t="shared" si="2"/>
        <v>0.125</v>
      </c>
      <c r="Q24" s="423"/>
      <c r="R24" s="424">
        <f t="shared" si="3"/>
        <v>0.1</v>
      </c>
      <c r="S24" s="425"/>
      <c r="T24" s="341"/>
      <c r="U24" s="329"/>
      <c r="V24" s="328"/>
      <c r="W24" s="328"/>
      <c r="X24" s="328">
        <v>0.1</v>
      </c>
      <c r="Y24" s="328"/>
      <c r="Z24" s="328"/>
      <c r="AA24" s="330"/>
      <c r="AB24" s="328">
        <v>0.1</v>
      </c>
      <c r="AC24" s="328"/>
      <c r="AD24" s="370"/>
      <c r="AE24" s="370"/>
      <c r="AF24" s="328"/>
      <c r="AG24" s="328"/>
      <c r="AH24" s="328"/>
      <c r="AI24" s="330"/>
      <c r="AJ24" s="332"/>
    </row>
    <row r="25" spans="1:36" ht="12.75">
      <c r="A25" s="447" t="s">
        <v>304</v>
      </c>
      <c r="B25" s="420"/>
      <c r="C25" s="420"/>
      <c r="D25" s="420"/>
      <c r="E25" s="420"/>
      <c r="F25" s="420"/>
      <c r="G25" s="420"/>
      <c r="H25" s="420"/>
      <c r="I25" s="420"/>
      <c r="J25" s="419">
        <f t="shared" si="0"/>
        <v>5.075000000000002</v>
      </c>
      <c r="K25" s="421"/>
      <c r="L25" s="422">
        <f>L24+T25-AB25</f>
        <v>4.600000000000002</v>
      </c>
      <c r="M25" s="423"/>
      <c r="N25" s="424">
        <f>N24+V25-AD25</f>
        <v>0.225</v>
      </c>
      <c r="O25" s="423"/>
      <c r="P25" s="424">
        <f t="shared" si="2"/>
        <v>0.15</v>
      </c>
      <c r="Q25" s="423"/>
      <c r="R25" s="424">
        <f t="shared" si="3"/>
        <v>0.1</v>
      </c>
      <c r="S25" s="425"/>
      <c r="T25" s="352"/>
      <c r="U25" s="328"/>
      <c r="V25" s="329">
        <v>0.025</v>
      </c>
      <c r="W25" s="329"/>
      <c r="X25" s="328">
        <v>0.025</v>
      </c>
      <c r="Y25" s="328"/>
      <c r="Z25" s="328"/>
      <c r="AA25" s="330"/>
      <c r="AB25" s="329">
        <v>0.05</v>
      </c>
      <c r="AC25" s="329"/>
      <c r="AD25" s="371"/>
      <c r="AE25" s="371"/>
      <c r="AF25" s="328"/>
      <c r="AG25" s="328"/>
      <c r="AH25" s="328"/>
      <c r="AI25" s="330"/>
      <c r="AJ25" s="332"/>
    </row>
    <row r="26" spans="1:37" ht="12.75">
      <c r="A26" s="447" t="s">
        <v>303</v>
      </c>
      <c r="B26" s="420"/>
      <c r="C26" s="420"/>
      <c r="D26" s="420"/>
      <c r="E26" s="420"/>
      <c r="F26" s="420"/>
      <c r="G26" s="420"/>
      <c r="H26" s="420"/>
      <c r="I26" s="420"/>
      <c r="J26" s="419">
        <f t="shared" si="0"/>
        <v>5.075000000000001</v>
      </c>
      <c r="K26" s="421"/>
      <c r="L26" s="422">
        <f>L25+T26-AB26</f>
        <v>4.400000000000002</v>
      </c>
      <c r="M26" s="423"/>
      <c r="N26" s="424">
        <f>N25+V26-AD26</f>
        <v>0.225</v>
      </c>
      <c r="O26" s="423"/>
      <c r="P26" s="424">
        <f t="shared" si="2"/>
        <v>0.35</v>
      </c>
      <c r="Q26" s="423"/>
      <c r="R26" s="424">
        <f t="shared" si="3"/>
        <v>0.1</v>
      </c>
      <c r="S26" s="425"/>
      <c r="T26" s="352"/>
      <c r="U26" s="328"/>
      <c r="V26" s="328"/>
      <c r="W26" s="328"/>
      <c r="X26" s="328">
        <v>0.2</v>
      </c>
      <c r="Y26" s="328"/>
      <c r="Z26" s="329"/>
      <c r="AA26" s="343"/>
      <c r="AB26" s="328">
        <v>0.2</v>
      </c>
      <c r="AC26" s="328"/>
      <c r="AD26" s="370"/>
      <c r="AE26" s="370"/>
      <c r="AF26" s="328"/>
      <c r="AG26" s="328"/>
      <c r="AH26" s="329"/>
      <c r="AI26" s="343"/>
      <c r="AJ26" s="332"/>
      <c r="AK26" t="s">
        <v>340</v>
      </c>
    </row>
    <row r="27" spans="1:37" ht="12.75">
      <c r="A27" s="447" t="s">
        <v>102</v>
      </c>
      <c r="B27" s="420"/>
      <c r="C27" s="420"/>
      <c r="D27" s="420"/>
      <c r="E27" s="420"/>
      <c r="F27" s="420"/>
      <c r="G27" s="420"/>
      <c r="H27" s="420"/>
      <c r="I27" s="420"/>
      <c r="J27" s="419">
        <f t="shared" si="0"/>
        <v>5.075000000000003</v>
      </c>
      <c r="K27" s="421"/>
      <c r="L27" s="422">
        <f t="shared" si="4"/>
        <v>4.3000000000000025</v>
      </c>
      <c r="M27" s="423"/>
      <c r="N27" s="424">
        <f t="shared" si="1"/>
        <v>0.275</v>
      </c>
      <c r="O27" s="423"/>
      <c r="P27" s="424">
        <f t="shared" si="2"/>
        <v>0.39999999999999997</v>
      </c>
      <c r="Q27" s="423"/>
      <c r="R27" s="424">
        <f t="shared" si="3"/>
        <v>0.1</v>
      </c>
      <c r="S27" s="425"/>
      <c r="T27" s="352"/>
      <c r="U27" s="328"/>
      <c r="V27" s="328">
        <v>0.05</v>
      </c>
      <c r="W27" s="328"/>
      <c r="X27" s="328">
        <v>0.05</v>
      </c>
      <c r="Y27" s="328"/>
      <c r="Z27" s="329"/>
      <c r="AA27" s="343"/>
      <c r="AB27" s="353">
        <v>0.1</v>
      </c>
      <c r="AC27" s="354"/>
      <c r="AD27" s="328"/>
      <c r="AE27" s="328"/>
      <c r="AF27" s="328"/>
      <c r="AG27" s="328"/>
      <c r="AH27" s="329"/>
      <c r="AI27" s="343"/>
      <c r="AJ27" s="332"/>
      <c r="AK27" t="s">
        <v>328</v>
      </c>
    </row>
    <row r="28" spans="1:37" ht="12.75">
      <c r="A28" s="447" t="s">
        <v>305</v>
      </c>
      <c r="B28" s="420"/>
      <c r="C28" s="420"/>
      <c r="D28" s="420"/>
      <c r="E28" s="420"/>
      <c r="F28" s="420"/>
      <c r="G28" s="420"/>
      <c r="H28" s="420"/>
      <c r="I28" s="420"/>
      <c r="J28" s="419">
        <f t="shared" si="0"/>
        <v>5.075000000000003</v>
      </c>
      <c r="K28" s="421"/>
      <c r="L28" s="422">
        <f t="shared" si="4"/>
        <v>4.250000000000003</v>
      </c>
      <c r="M28" s="423"/>
      <c r="N28" s="424">
        <f t="shared" si="1"/>
        <v>0.275</v>
      </c>
      <c r="O28" s="423"/>
      <c r="P28" s="424">
        <f t="shared" si="2"/>
        <v>0.44999999999999996</v>
      </c>
      <c r="Q28" s="423"/>
      <c r="R28" s="424">
        <f t="shared" si="3"/>
        <v>0.1</v>
      </c>
      <c r="S28" s="425"/>
      <c r="T28" s="352"/>
      <c r="U28" s="328"/>
      <c r="V28" s="329"/>
      <c r="W28" s="329"/>
      <c r="X28" s="328">
        <v>0.05</v>
      </c>
      <c r="Y28" s="328"/>
      <c r="Z28" s="328"/>
      <c r="AA28" s="330"/>
      <c r="AB28" s="352">
        <v>0.05</v>
      </c>
      <c r="AC28" s="328"/>
      <c r="AD28" s="329"/>
      <c r="AE28" s="329"/>
      <c r="AF28" s="328"/>
      <c r="AG28" s="328"/>
      <c r="AH28" s="328"/>
      <c r="AI28" s="330"/>
      <c r="AJ28" s="332"/>
      <c r="AK28" t="s">
        <v>325</v>
      </c>
    </row>
    <row r="29" spans="1:36" ht="12.75">
      <c r="A29" s="447" t="s">
        <v>104</v>
      </c>
      <c r="B29" s="420"/>
      <c r="C29" s="420"/>
      <c r="D29" s="420"/>
      <c r="E29" s="420"/>
      <c r="F29" s="420"/>
      <c r="G29" s="420"/>
      <c r="H29" s="420"/>
      <c r="I29" s="420"/>
      <c r="J29" s="419">
        <f t="shared" si="0"/>
        <v>5.075000000000003</v>
      </c>
      <c r="K29" s="421"/>
      <c r="L29" s="422">
        <f t="shared" si="4"/>
        <v>4.150000000000003</v>
      </c>
      <c r="M29" s="423"/>
      <c r="N29" s="424">
        <f t="shared" si="1"/>
        <v>0.275</v>
      </c>
      <c r="O29" s="423"/>
      <c r="P29" s="424">
        <f t="shared" si="2"/>
        <v>0.5499999999999999</v>
      </c>
      <c r="Q29" s="423"/>
      <c r="R29" s="424">
        <f t="shared" si="3"/>
        <v>0.1</v>
      </c>
      <c r="S29" s="425"/>
      <c r="T29" s="352"/>
      <c r="U29" s="328"/>
      <c r="V29" s="328"/>
      <c r="W29" s="328"/>
      <c r="X29" s="328">
        <v>0.1</v>
      </c>
      <c r="Y29" s="328"/>
      <c r="Z29" s="329"/>
      <c r="AA29" s="343"/>
      <c r="AB29" s="352">
        <v>0.1</v>
      </c>
      <c r="AC29" s="328"/>
      <c r="AD29" s="328"/>
      <c r="AE29" s="328"/>
      <c r="AF29" s="328"/>
      <c r="AG29" s="328"/>
      <c r="AH29" s="329"/>
      <c r="AI29" s="343"/>
      <c r="AJ29" s="332"/>
    </row>
    <row r="30" spans="1:37" ht="12.75">
      <c r="A30" s="447" t="s">
        <v>306</v>
      </c>
      <c r="B30" s="420"/>
      <c r="C30" s="420"/>
      <c r="D30" s="420"/>
      <c r="E30" s="420"/>
      <c r="F30" s="420"/>
      <c r="G30" s="420"/>
      <c r="H30" s="420"/>
      <c r="I30" s="420"/>
      <c r="J30" s="419">
        <f t="shared" si="0"/>
        <v>5.075000000000003</v>
      </c>
      <c r="K30" s="421"/>
      <c r="L30" s="422">
        <f t="shared" si="4"/>
        <v>4.100000000000003</v>
      </c>
      <c r="M30" s="423"/>
      <c r="N30" s="424">
        <f t="shared" si="1"/>
        <v>0.30000000000000004</v>
      </c>
      <c r="O30" s="423"/>
      <c r="P30" s="424">
        <f t="shared" si="2"/>
        <v>0.575</v>
      </c>
      <c r="Q30" s="423"/>
      <c r="R30" s="424">
        <f t="shared" si="3"/>
        <v>0.1</v>
      </c>
      <c r="S30" s="425"/>
      <c r="T30" s="426"/>
      <c r="U30" s="365"/>
      <c r="V30" s="329">
        <v>0.025</v>
      </c>
      <c r="W30" s="329"/>
      <c r="X30" s="328">
        <v>0.025</v>
      </c>
      <c r="Y30" s="328"/>
      <c r="Z30" s="365"/>
      <c r="AA30" s="367"/>
      <c r="AB30" s="368">
        <v>0.05</v>
      </c>
      <c r="AC30" s="369"/>
      <c r="AD30" s="366"/>
      <c r="AE30" s="366"/>
      <c r="AF30" s="370"/>
      <c r="AG30" s="370"/>
      <c r="AH30" s="365"/>
      <c r="AI30" s="367"/>
      <c r="AJ30" s="332"/>
      <c r="AK30" t="s">
        <v>344</v>
      </c>
    </row>
    <row r="31" spans="1:36" ht="12.75">
      <c r="A31" s="447" t="s">
        <v>307</v>
      </c>
      <c r="B31" s="420"/>
      <c r="C31" s="420"/>
      <c r="D31" s="420"/>
      <c r="E31" s="420"/>
      <c r="F31" s="420"/>
      <c r="G31" s="420"/>
      <c r="H31" s="420"/>
      <c r="I31" s="420"/>
      <c r="J31" s="419">
        <f t="shared" si="0"/>
        <v>5.075000000000003</v>
      </c>
      <c r="K31" s="421"/>
      <c r="L31" s="422">
        <f t="shared" si="4"/>
        <v>4.100000000000003</v>
      </c>
      <c r="M31" s="423"/>
      <c r="N31" s="424">
        <f t="shared" si="1"/>
        <v>0.30000000000000004</v>
      </c>
      <c r="O31" s="423"/>
      <c r="P31" s="424">
        <f t="shared" si="2"/>
        <v>0.575</v>
      </c>
      <c r="Q31" s="423"/>
      <c r="R31" s="424">
        <f t="shared" si="3"/>
        <v>0.1</v>
      </c>
      <c r="S31" s="425"/>
      <c r="T31" s="426"/>
      <c r="U31" s="365"/>
      <c r="V31" s="365"/>
      <c r="W31" s="365"/>
      <c r="X31" s="366"/>
      <c r="Y31" s="366"/>
      <c r="Z31" s="365"/>
      <c r="AA31" s="367"/>
      <c r="AB31" s="352"/>
      <c r="AC31" s="328"/>
      <c r="AD31" s="365"/>
      <c r="AE31" s="365"/>
      <c r="AF31" s="366"/>
      <c r="AG31" s="366"/>
      <c r="AH31" s="365"/>
      <c r="AI31" s="367"/>
      <c r="AJ31" s="332"/>
    </row>
    <row r="32" spans="1:36" ht="13.5" thickBot="1">
      <c r="A32" s="438" t="s">
        <v>308</v>
      </c>
      <c r="B32" s="439"/>
      <c r="C32" s="439"/>
      <c r="D32" s="439"/>
      <c r="E32" s="439"/>
      <c r="F32" s="439"/>
      <c r="G32" s="439"/>
      <c r="H32" s="439"/>
      <c r="I32" s="439"/>
      <c r="J32" s="440">
        <f t="shared" si="0"/>
        <v>5.075000000000004</v>
      </c>
      <c r="K32" s="441"/>
      <c r="L32" s="442">
        <f t="shared" si="4"/>
        <v>4.0000000000000036</v>
      </c>
      <c r="M32" s="443"/>
      <c r="N32" s="444">
        <f t="shared" si="1"/>
        <v>0.30000000000000004</v>
      </c>
      <c r="O32" s="443"/>
      <c r="P32" s="444">
        <f t="shared" si="2"/>
        <v>0.575</v>
      </c>
      <c r="Q32" s="443"/>
      <c r="R32" s="444">
        <f t="shared" si="3"/>
        <v>0.2</v>
      </c>
      <c r="S32" s="445"/>
      <c r="T32" s="446"/>
      <c r="U32" s="382"/>
      <c r="V32" s="362"/>
      <c r="W32" s="362"/>
      <c r="X32" s="382"/>
      <c r="Y32" s="382"/>
      <c r="Z32" s="428">
        <v>0.1</v>
      </c>
      <c r="AA32" s="429"/>
      <c r="AB32" s="360">
        <v>0.1</v>
      </c>
      <c r="AC32" s="361"/>
      <c r="AD32" s="362"/>
      <c r="AE32" s="362"/>
      <c r="AF32" s="362"/>
      <c r="AG32" s="362"/>
      <c r="AH32" s="363"/>
      <c r="AI32" s="364"/>
      <c r="AJ32" s="333"/>
    </row>
    <row r="33" spans="1:36" ht="12.75">
      <c r="A33" s="430"/>
      <c r="B33" s="431"/>
      <c r="C33" s="431"/>
      <c r="D33" s="431"/>
      <c r="E33" s="431"/>
      <c r="F33" s="431"/>
      <c r="G33" s="431"/>
      <c r="H33" s="431"/>
      <c r="I33" s="431"/>
      <c r="J33" s="430">
        <f t="shared" si="0"/>
        <v>5.075000000000004</v>
      </c>
      <c r="K33" s="432"/>
      <c r="L33" s="433">
        <f t="shared" si="4"/>
        <v>4.0000000000000036</v>
      </c>
      <c r="M33" s="434"/>
      <c r="N33" s="435">
        <f t="shared" si="1"/>
        <v>0.30000000000000004</v>
      </c>
      <c r="O33" s="434"/>
      <c r="P33" s="435">
        <f t="shared" si="2"/>
        <v>0.575</v>
      </c>
      <c r="Q33" s="434"/>
      <c r="R33" s="435">
        <f t="shared" si="3"/>
        <v>0.2</v>
      </c>
      <c r="S33" s="436"/>
      <c r="T33" s="437"/>
      <c r="U33" s="357"/>
      <c r="V33" s="357"/>
      <c r="W33" s="357"/>
      <c r="X33" s="358"/>
      <c r="Y33" s="358"/>
      <c r="Z33" s="357"/>
      <c r="AA33" s="359"/>
      <c r="AB33" s="355"/>
      <c r="AC33" s="356"/>
      <c r="AD33" s="357"/>
      <c r="AE33" s="357"/>
      <c r="AF33" s="358"/>
      <c r="AG33" s="358"/>
      <c r="AH33" s="357"/>
      <c r="AI33" s="359"/>
      <c r="AJ33" s="78"/>
    </row>
    <row r="34" spans="1:36" ht="12.75">
      <c r="A34" s="419" t="s">
        <v>309</v>
      </c>
      <c r="B34" s="420"/>
      <c r="C34" s="420"/>
      <c r="D34" s="420"/>
      <c r="E34" s="420"/>
      <c r="F34" s="420"/>
      <c r="G34" s="420"/>
      <c r="H34" s="420"/>
      <c r="I34" s="420"/>
      <c r="J34" s="419">
        <f t="shared" si="0"/>
        <v>5.075000000000004</v>
      </c>
      <c r="K34" s="421"/>
      <c r="L34" s="422">
        <f t="shared" si="4"/>
        <v>4.0000000000000036</v>
      </c>
      <c r="M34" s="423"/>
      <c r="N34" s="424">
        <f t="shared" si="1"/>
        <v>0.30000000000000004</v>
      </c>
      <c r="O34" s="423"/>
      <c r="P34" s="424">
        <f t="shared" si="2"/>
        <v>0.575</v>
      </c>
      <c r="Q34" s="423"/>
      <c r="R34" s="424">
        <f t="shared" si="3"/>
        <v>0.2</v>
      </c>
      <c r="S34" s="425"/>
      <c r="T34" s="426"/>
      <c r="U34" s="365"/>
      <c r="V34" s="376"/>
      <c r="W34" s="376"/>
      <c r="X34" s="328"/>
      <c r="Y34" s="328"/>
      <c r="Z34" s="328"/>
      <c r="AA34" s="330"/>
      <c r="AB34" s="352"/>
      <c r="AC34" s="328"/>
      <c r="AD34" s="329"/>
      <c r="AE34" s="329"/>
      <c r="AF34" s="328"/>
      <c r="AG34" s="328"/>
      <c r="AH34" s="328"/>
      <c r="AI34" s="330"/>
      <c r="AJ34" s="81"/>
    </row>
    <row r="35" spans="1:36" ht="12.75">
      <c r="A35" s="420" t="s">
        <v>310</v>
      </c>
      <c r="B35" s="420"/>
      <c r="C35" s="420"/>
      <c r="D35" s="420"/>
      <c r="E35" s="420"/>
      <c r="F35" s="420"/>
      <c r="G35" s="420"/>
      <c r="H35" s="420"/>
      <c r="I35" s="420"/>
      <c r="J35" s="419">
        <f t="shared" si="0"/>
        <v>5.075000000000004</v>
      </c>
      <c r="K35" s="421"/>
      <c r="L35" s="422">
        <f t="shared" si="4"/>
        <v>4.0000000000000036</v>
      </c>
      <c r="M35" s="423"/>
      <c r="N35" s="424">
        <f t="shared" si="1"/>
        <v>0.30000000000000004</v>
      </c>
      <c r="O35" s="423"/>
      <c r="P35" s="424">
        <f t="shared" si="2"/>
        <v>0.575</v>
      </c>
      <c r="Q35" s="423"/>
      <c r="R35" s="424">
        <f t="shared" si="3"/>
        <v>0.2</v>
      </c>
      <c r="S35" s="425"/>
      <c r="T35" s="426"/>
      <c r="U35" s="365"/>
      <c r="V35" s="328"/>
      <c r="W35" s="328"/>
      <c r="X35" s="329"/>
      <c r="Y35" s="329"/>
      <c r="Z35" s="328"/>
      <c r="AA35" s="330"/>
      <c r="AB35" s="352"/>
      <c r="AC35" s="328"/>
      <c r="AD35" s="328"/>
      <c r="AE35" s="328"/>
      <c r="AF35" s="329"/>
      <c r="AG35" s="329"/>
      <c r="AH35" s="328"/>
      <c r="AI35" s="330"/>
      <c r="AJ35" s="81"/>
    </row>
    <row r="36" spans="1:37" ht="12.75">
      <c r="A36" s="420" t="s">
        <v>311</v>
      </c>
      <c r="B36" s="420"/>
      <c r="C36" s="420"/>
      <c r="D36" s="420"/>
      <c r="E36" s="420"/>
      <c r="F36" s="420"/>
      <c r="G36" s="420"/>
      <c r="H36" s="420"/>
      <c r="I36" s="420"/>
      <c r="J36" s="419">
        <f t="shared" si="0"/>
        <v>5.075000000000004</v>
      </c>
      <c r="K36" s="421"/>
      <c r="L36" s="422">
        <f t="shared" si="4"/>
        <v>4.0000000000000036</v>
      </c>
      <c r="M36" s="423"/>
      <c r="N36" s="424">
        <f t="shared" si="1"/>
        <v>0.30000000000000004</v>
      </c>
      <c r="O36" s="423"/>
      <c r="P36" s="424">
        <f t="shared" si="2"/>
        <v>0.575</v>
      </c>
      <c r="Q36" s="423"/>
      <c r="R36" s="424">
        <f t="shared" si="3"/>
        <v>0.2</v>
      </c>
      <c r="S36" s="425"/>
      <c r="T36" s="426"/>
      <c r="U36" s="365"/>
      <c r="V36" s="328"/>
      <c r="W36" s="328"/>
      <c r="X36" s="328"/>
      <c r="Y36" s="328"/>
      <c r="Z36" s="329"/>
      <c r="AA36" s="343"/>
      <c r="AB36" s="353"/>
      <c r="AC36" s="354"/>
      <c r="AD36" s="328"/>
      <c r="AE36" s="328"/>
      <c r="AF36" s="328"/>
      <c r="AG36" s="328"/>
      <c r="AH36" s="329"/>
      <c r="AI36" s="343"/>
      <c r="AJ36" s="82"/>
      <c r="AK36" t="s">
        <v>331</v>
      </c>
    </row>
    <row r="37" spans="1:37" ht="12.75">
      <c r="A37" s="420" t="s">
        <v>313</v>
      </c>
      <c r="B37" s="420"/>
      <c r="C37" s="420"/>
      <c r="D37" s="420"/>
      <c r="E37" s="420"/>
      <c r="F37" s="420"/>
      <c r="G37" s="420"/>
      <c r="H37" s="420"/>
      <c r="I37" s="420"/>
      <c r="J37" s="419">
        <f t="shared" si="0"/>
        <v>5.075000000000004</v>
      </c>
      <c r="K37" s="421"/>
      <c r="L37" s="422">
        <f t="shared" si="4"/>
        <v>4.0000000000000036</v>
      </c>
      <c r="M37" s="423"/>
      <c r="N37" s="424">
        <f t="shared" si="1"/>
        <v>0.30000000000000004</v>
      </c>
      <c r="O37" s="423"/>
      <c r="P37" s="424">
        <f t="shared" si="2"/>
        <v>0.575</v>
      </c>
      <c r="Q37" s="423"/>
      <c r="R37" s="424">
        <f t="shared" si="3"/>
        <v>0.2</v>
      </c>
      <c r="S37" s="425"/>
      <c r="T37" s="427"/>
      <c r="U37" s="366"/>
      <c r="V37" s="328"/>
      <c r="W37" s="328"/>
      <c r="X37" s="328"/>
      <c r="Y37" s="328"/>
      <c r="Z37" s="328"/>
      <c r="AA37" s="330"/>
      <c r="AB37" s="341"/>
      <c r="AC37" s="329"/>
      <c r="AD37" s="328"/>
      <c r="AE37" s="328"/>
      <c r="AF37" s="328"/>
      <c r="AG37" s="328"/>
      <c r="AH37" s="328"/>
      <c r="AI37" s="330"/>
      <c r="AJ37" s="81"/>
      <c r="AK37" t="s">
        <v>332</v>
      </c>
    </row>
    <row r="38" spans="1:36" ht="12.75">
      <c r="A38" s="420" t="s">
        <v>314</v>
      </c>
      <c r="B38" s="420"/>
      <c r="C38" s="420"/>
      <c r="D38" s="420"/>
      <c r="E38" s="420"/>
      <c r="F38" s="420"/>
      <c r="G38" s="420"/>
      <c r="H38" s="420"/>
      <c r="I38" s="420"/>
      <c r="J38" s="419">
        <f t="shared" si="0"/>
        <v>5.075000000000004</v>
      </c>
      <c r="K38" s="421"/>
      <c r="L38" s="422">
        <f t="shared" si="4"/>
        <v>4.0000000000000036</v>
      </c>
      <c r="M38" s="423"/>
      <c r="N38" s="424">
        <f t="shared" si="1"/>
        <v>0.30000000000000004</v>
      </c>
      <c r="O38" s="423"/>
      <c r="P38" s="424">
        <f t="shared" si="2"/>
        <v>0.575</v>
      </c>
      <c r="Q38" s="423"/>
      <c r="R38" s="424">
        <f t="shared" si="3"/>
        <v>0.2</v>
      </c>
      <c r="S38" s="425"/>
      <c r="T38" s="352"/>
      <c r="U38" s="328"/>
      <c r="V38" s="328"/>
      <c r="W38" s="328"/>
      <c r="X38" s="328"/>
      <c r="Y38" s="328"/>
      <c r="Z38" s="329"/>
      <c r="AA38" s="343"/>
      <c r="AB38" s="352"/>
      <c r="AC38" s="328"/>
      <c r="AD38" s="328"/>
      <c r="AE38" s="328"/>
      <c r="AF38" s="328"/>
      <c r="AG38" s="328"/>
      <c r="AH38" s="329"/>
      <c r="AI38" s="343"/>
      <c r="AJ38" s="82"/>
    </row>
    <row r="39" spans="1:37" ht="12.75">
      <c r="A39" s="420" t="s">
        <v>315</v>
      </c>
      <c r="B39" s="420"/>
      <c r="C39" s="420"/>
      <c r="D39" s="420"/>
      <c r="E39" s="420"/>
      <c r="F39" s="420"/>
      <c r="G39" s="420"/>
      <c r="H39" s="420"/>
      <c r="I39" s="420"/>
      <c r="J39" s="419">
        <f t="shared" si="0"/>
        <v>5.075000000000004</v>
      </c>
      <c r="K39" s="421"/>
      <c r="L39" s="422">
        <f t="shared" si="4"/>
        <v>4.0000000000000036</v>
      </c>
      <c r="M39" s="423"/>
      <c r="N39" s="424">
        <f t="shared" si="1"/>
        <v>0.30000000000000004</v>
      </c>
      <c r="O39" s="423"/>
      <c r="P39" s="424">
        <f t="shared" si="2"/>
        <v>0.575</v>
      </c>
      <c r="Q39" s="423"/>
      <c r="R39" s="424">
        <f t="shared" si="3"/>
        <v>0.2</v>
      </c>
      <c r="S39" s="425"/>
      <c r="T39" s="426"/>
      <c r="U39" s="365"/>
      <c r="V39" s="342"/>
      <c r="W39" s="342"/>
      <c r="X39" s="329"/>
      <c r="Y39" s="329"/>
      <c r="Z39" s="328"/>
      <c r="AA39" s="330"/>
      <c r="AB39" s="352"/>
      <c r="AC39" s="328"/>
      <c r="AD39" s="342"/>
      <c r="AE39" s="342"/>
      <c r="AF39" s="329"/>
      <c r="AG39" s="329"/>
      <c r="AH39" s="328"/>
      <c r="AI39" s="330"/>
      <c r="AJ39" s="81"/>
      <c r="AK39" t="s">
        <v>333</v>
      </c>
    </row>
    <row r="40" spans="1:46" ht="12.75">
      <c r="A40" s="420" t="s">
        <v>316</v>
      </c>
      <c r="B40" s="420"/>
      <c r="C40" s="420"/>
      <c r="D40" s="420"/>
      <c r="E40" s="420"/>
      <c r="F40" s="420"/>
      <c r="G40" s="420"/>
      <c r="H40" s="420"/>
      <c r="I40" s="420"/>
      <c r="J40" s="419">
        <f t="shared" si="0"/>
        <v>5.075000000000004</v>
      </c>
      <c r="K40" s="421"/>
      <c r="L40" s="422">
        <f t="shared" si="4"/>
        <v>4.0000000000000036</v>
      </c>
      <c r="M40" s="423"/>
      <c r="N40" s="424">
        <f t="shared" si="1"/>
        <v>0.30000000000000004</v>
      </c>
      <c r="O40" s="423"/>
      <c r="P40" s="424">
        <f t="shared" si="2"/>
        <v>0.575</v>
      </c>
      <c r="Q40" s="423"/>
      <c r="R40" s="424">
        <f t="shared" si="3"/>
        <v>0.2</v>
      </c>
      <c r="S40" s="425"/>
      <c r="T40" s="426"/>
      <c r="U40" s="365"/>
      <c r="V40" s="327"/>
      <c r="W40" s="327"/>
      <c r="X40" s="329"/>
      <c r="Y40" s="329"/>
      <c r="Z40" s="328"/>
      <c r="AA40" s="330"/>
      <c r="AB40" s="326"/>
      <c r="AC40" s="327"/>
      <c r="AD40" s="328"/>
      <c r="AE40" s="328"/>
      <c r="AF40" s="329"/>
      <c r="AG40" s="329"/>
      <c r="AH40" s="328"/>
      <c r="AI40" s="330"/>
      <c r="AJ40" s="81" t="s">
        <v>342</v>
      </c>
      <c r="AK40" s="322" t="s">
        <v>341</v>
      </c>
      <c r="AL40" s="322"/>
      <c r="AM40" s="322"/>
      <c r="AN40" s="322"/>
      <c r="AO40" s="322"/>
      <c r="AP40" s="322"/>
      <c r="AQ40" s="322"/>
      <c r="AR40" s="322"/>
      <c r="AS40" s="322"/>
      <c r="AT40" s="322"/>
    </row>
    <row r="41" spans="1:36" ht="12.75">
      <c r="A41" s="420" t="s">
        <v>317</v>
      </c>
      <c r="B41" s="420"/>
      <c r="C41" s="420"/>
      <c r="D41" s="420"/>
      <c r="E41" s="420"/>
      <c r="F41" s="420"/>
      <c r="G41" s="420"/>
      <c r="H41" s="420"/>
      <c r="I41" s="420"/>
      <c r="J41" s="419">
        <f t="shared" si="0"/>
        <v>5.075000000000004</v>
      </c>
      <c r="K41" s="421"/>
      <c r="L41" s="422">
        <f t="shared" si="4"/>
        <v>4.0000000000000036</v>
      </c>
      <c r="M41" s="423"/>
      <c r="N41" s="424">
        <f t="shared" si="1"/>
        <v>0.30000000000000004</v>
      </c>
      <c r="O41" s="423"/>
      <c r="P41" s="424">
        <f t="shared" si="2"/>
        <v>0.575</v>
      </c>
      <c r="Q41" s="423"/>
      <c r="R41" s="424">
        <f t="shared" si="3"/>
        <v>0.2</v>
      </c>
      <c r="S41" s="425"/>
      <c r="T41" s="426"/>
      <c r="U41" s="365"/>
      <c r="V41" s="327"/>
      <c r="W41" s="327"/>
      <c r="X41" s="329"/>
      <c r="Y41" s="329"/>
      <c r="Z41" s="328"/>
      <c r="AA41" s="330"/>
      <c r="AB41" s="326"/>
      <c r="AC41" s="327"/>
      <c r="AD41" s="328"/>
      <c r="AE41" s="328"/>
      <c r="AF41" s="329"/>
      <c r="AG41" s="329"/>
      <c r="AH41" s="328"/>
      <c r="AI41" s="330"/>
      <c r="AJ41" s="81"/>
    </row>
    <row r="42" spans="1:37" ht="12.75">
      <c r="A42" s="420" t="s">
        <v>318</v>
      </c>
      <c r="B42" s="420"/>
      <c r="C42" s="420"/>
      <c r="D42" s="420"/>
      <c r="E42" s="420"/>
      <c r="F42" s="420"/>
      <c r="G42" s="420"/>
      <c r="H42" s="420"/>
      <c r="I42" s="420"/>
      <c r="J42" s="419">
        <f t="shared" si="0"/>
        <v>5.075000000000004</v>
      </c>
      <c r="K42" s="421"/>
      <c r="L42" s="422">
        <f t="shared" si="4"/>
        <v>4.0000000000000036</v>
      </c>
      <c r="M42" s="423"/>
      <c r="N42" s="424">
        <f t="shared" si="1"/>
        <v>0.30000000000000004</v>
      </c>
      <c r="O42" s="423"/>
      <c r="P42" s="424">
        <f t="shared" si="2"/>
        <v>0.575</v>
      </c>
      <c r="Q42" s="423"/>
      <c r="R42" s="424">
        <f t="shared" si="3"/>
        <v>0.2</v>
      </c>
      <c r="S42" s="425"/>
      <c r="T42" s="341"/>
      <c r="U42" s="329"/>
      <c r="V42" s="342"/>
      <c r="W42" s="342"/>
      <c r="X42" s="328"/>
      <c r="Y42" s="328"/>
      <c r="Z42" s="372"/>
      <c r="AA42" s="418"/>
      <c r="AB42" s="341"/>
      <c r="AC42" s="329"/>
      <c r="AD42" s="342"/>
      <c r="AE42" s="342"/>
      <c r="AF42" s="328"/>
      <c r="AG42" s="328"/>
      <c r="AH42" s="329"/>
      <c r="AI42" s="343"/>
      <c r="AJ42" s="82"/>
      <c r="AK42" t="s">
        <v>326</v>
      </c>
    </row>
    <row r="43" spans="1:37" ht="13.5" thickBot="1">
      <c r="A43" s="419" t="s">
        <v>319</v>
      </c>
      <c r="B43" s="420"/>
      <c r="C43" s="420"/>
      <c r="D43" s="420"/>
      <c r="E43" s="420"/>
      <c r="F43" s="420"/>
      <c r="G43" s="420"/>
      <c r="H43" s="420"/>
      <c r="I43" s="420"/>
      <c r="J43" s="419">
        <f t="shared" si="0"/>
        <v>5.075000000000004</v>
      </c>
      <c r="K43" s="421"/>
      <c r="L43" s="422">
        <f t="shared" si="4"/>
        <v>4.0000000000000036</v>
      </c>
      <c r="M43" s="423"/>
      <c r="N43" s="424">
        <f t="shared" si="1"/>
        <v>0.30000000000000004</v>
      </c>
      <c r="O43" s="423"/>
      <c r="P43" s="424">
        <f t="shared" si="2"/>
        <v>0.575</v>
      </c>
      <c r="Q43" s="423"/>
      <c r="R43" s="424">
        <f t="shared" si="3"/>
        <v>0.2</v>
      </c>
      <c r="S43" s="425"/>
      <c r="T43" s="349"/>
      <c r="U43" s="350"/>
      <c r="V43" s="338"/>
      <c r="W43" s="338"/>
      <c r="X43" s="338"/>
      <c r="Y43" s="338"/>
      <c r="Z43" s="339"/>
      <c r="AA43" s="340"/>
      <c r="AB43" s="336"/>
      <c r="AC43" s="337"/>
      <c r="AD43" s="338"/>
      <c r="AE43" s="338"/>
      <c r="AF43" s="338"/>
      <c r="AG43" s="338"/>
      <c r="AH43" s="339"/>
      <c r="AI43" s="340"/>
      <c r="AJ43" s="81"/>
      <c r="AK43" t="s">
        <v>327</v>
      </c>
    </row>
    <row r="44" spans="1:36" s="1" customFormat="1" ht="13.5" thickBot="1">
      <c r="A44" s="413" t="s">
        <v>320</v>
      </c>
      <c r="B44" s="413"/>
      <c r="C44" s="413"/>
      <c r="D44" s="413"/>
      <c r="E44" s="413"/>
      <c r="F44" s="413"/>
      <c r="G44" s="413"/>
      <c r="H44" s="413"/>
      <c r="I44" s="413"/>
      <c r="J44" s="414">
        <f t="shared" si="0"/>
        <v>5.075000000000004</v>
      </c>
      <c r="K44" s="415"/>
      <c r="L44" s="416">
        <f t="shared" si="4"/>
        <v>4.0000000000000036</v>
      </c>
      <c r="M44" s="409"/>
      <c r="N44" s="408">
        <f t="shared" si="1"/>
        <v>0.30000000000000004</v>
      </c>
      <c r="O44" s="409"/>
      <c r="P44" s="408">
        <f t="shared" si="2"/>
        <v>0.575</v>
      </c>
      <c r="Q44" s="409"/>
      <c r="R44" s="408">
        <f t="shared" si="3"/>
        <v>0.2</v>
      </c>
      <c r="S44" s="410"/>
      <c r="T44" s="417"/>
      <c r="U44" s="350"/>
      <c r="V44" s="351"/>
      <c r="W44" s="351"/>
      <c r="X44" s="351"/>
      <c r="Y44" s="351"/>
      <c r="Z44" s="334"/>
      <c r="AA44" s="335"/>
      <c r="AB44" s="349"/>
      <c r="AC44" s="350"/>
      <c r="AD44" s="351"/>
      <c r="AE44" s="351"/>
      <c r="AF44" s="351"/>
      <c r="AG44" s="351"/>
      <c r="AH44" s="334"/>
      <c r="AI44" s="335"/>
      <c r="AJ44" s="83"/>
    </row>
    <row r="45" spans="1:36" ht="13.5" thickBot="1">
      <c r="A45" s="346" t="s">
        <v>217</v>
      </c>
      <c r="B45" s="346"/>
      <c r="C45" s="346"/>
      <c r="D45" s="346"/>
      <c r="E45" s="346"/>
      <c r="F45" s="346"/>
      <c r="G45" s="346"/>
      <c r="H45" s="346"/>
      <c r="I45" s="347"/>
      <c r="J45" s="348">
        <f>SUM(L6:S6)-L46</f>
        <v>0</v>
      </c>
      <c r="K45" s="324"/>
      <c r="L45" s="411">
        <f>L6+T45-AB45</f>
        <v>4</v>
      </c>
      <c r="M45" s="412"/>
      <c r="N45" s="411">
        <f>N6+V45-AD45</f>
        <v>0.30000000000000004</v>
      </c>
      <c r="O45" s="412"/>
      <c r="P45" s="411">
        <f>P6+X45-AF45</f>
        <v>0.575</v>
      </c>
      <c r="Q45" s="412"/>
      <c r="R45" s="411">
        <f>R6+Z45-AH45</f>
        <v>0.2</v>
      </c>
      <c r="S45" s="412"/>
      <c r="T45" s="348">
        <f>SUM(T7:U43)</f>
        <v>1</v>
      </c>
      <c r="U45" s="323"/>
      <c r="V45" s="323">
        <f>SUM(V7:W43)</f>
        <v>0.30000000000000004</v>
      </c>
      <c r="W45" s="323"/>
      <c r="X45" s="323">
        <f>SUM(X7:Y43)</f>
        <v>0.575</v>
      </c>
      <c r="Y45" s="323"/>
      <c r="Z45" s="323">
        <f>SUM(Z7:AA43)</f>
        <v>0.2</v>
      </c>
      <c r="AA45" s="324"/>
      <c r="AB45" s="348">
        <f>SUM(AB7:AC43)</f>
        <v>2.0750000000000006</v>
      </c>
      <c r="AC45" s="323"/>
      <c r="AD45" s="323">
        <f>SUM(AD7:AE43)</f>
        <v>0</v>
      </c>
      <c r="AE45" s="323"/>
      <c r="AF45" s="323">
        <f>SUM(AF7:AG43)</f>
        <v>0</v>
      </c>
      <c r="AG45" s="323"/>
      <c r="AH45" s="323">
        <f>SUM(AH7:AI43)</f>
        <v>0</v>
      </c>
      <c r="AI45" s="324"/>
      <c r="AJ45" s="78"/>
    </row>
    <row r="46" spans="7:36" ht="12.75">
      <c r="G46" s="291" t="s">
        <v>221</v>
      </c>
      <c r="H46" s="291"/>
      <c r="I46" s="291"/>
      <c r="J46" s="465">
        <f>J44+3.15</f>
        <v>8.225000000000003</v>
      </c>
      <c r="K46" s="465"/>
      <c r="L46" s="325">
        <f>SUM(L45:S45)</f>
        <v>5.075</v>
      </c>
      <c r="M46" s="325"/>
      <c r="N46" s="325"/>
      <c r="O46" s="325"/>
      <c r="P46" s="325"/>
      <c r="Q46" s="325"/>
      <c r="R46" s="325"/>
      <c r="S46" s="325"/>
      <c r="T46" s="325">
        <f>SUM(T45:AA45)</f>
        <v>2.075</v>
      </c>
      <c r="U46" s="325"/>
      <c r="V46" s="325"/>
      <c r="W46" s="325"/>
      <c r="X46" s="325"/>
      <c r="Y46" s="325"/>
      <c r="Z46" s="325"/>
      <c r="AA46" s="325"/>
      <c r="AB46" s="325">
        <f>SUM(AB45:AI45)</f>
        <v>2.0750000000000006</v>
      </c>
      <c r="AC46" s="325"/>
      <c r="AD46" s="325"/>
      <c r="AE46" s="325"/>
      <c r="AF46" s="325"/>
      <c r="AG46" s="325"/>
      <c r="AH46" s="325"/>
      <c r="AI46" s="325"/>
      <c r="AJ46" s="79"/>
    </row>
    <row r="47" spans="28:33" ht="12.75">
      <c r="AB47" s="294"/>
      <c r="AC47" s="294"/>
      <c r="AF47" s="294"/>
      <c r="AG47" s="294"/>
    </row>
    <row r="48" spans="10:28" ht="12.75">
      <c r="J48" s="294" t="s">
        <v>334</v>
      </c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</row>
    <row r="49" ht="12.75">
      <c r="J49" t="s">
        <v>335</v>
      </c>
    </row>
    <row r="50" spans="10:34" ht="12.75">
      <c r="J50" s="78"/>
      <c r="K50" s="78"/>
      <c r="L50" s="464"/>
      <c r="M50" s="464"/>
      <c r="N50" s="464"/>
      <c r="O50" s="464"/>
      <c r="P50" s="464"/>
      <c r="Q50" s="464"/>
      <c r="R50" s="464"/>
      <c r="S50" s="464"/>
      <c r="T50" s="78"/>
      <c r="U50" s="78"/>
      <c r="V50" s="464"/>
      <c r="W50" s="464"/>
      <c r="X50" s="464"/>
      <c r="Y50" s="78"/>
      <c r="Z50" s="78"/>
      <c r="AA50" s="78"/>
      <c r="AB50" s="78"/>
      <c r="AC50" s="78"/>
      <c r="AD50" s="78"/>
      <c r="AE50" s="78"/>
      <c r="AF50" s="78"/>
      <c r="AG50" s="78"/>
      <c r="AH50" s="78"/>
    </row>
    <row r="51" spans="10:34" ht="12.75"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464"/>
      <c r="W51" s="464"/>
      <c r="X51" s="464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10:34" ht="12.75"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0:34" ht="12.75"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</row>
  </sheetData>
  <mergeCells count="595">
    <mergeCell ref="V50:X50"/>
    <mergeCell ref="V51:X51"/>
    <mergeCell ref="J46:K46"/>
    <mergeCell ref="J48:AB48"/>
    <mergeCell ref="AB46:AI46"/>
    <mergeCell ref="G46:I46"/>
    <mergeCell ref="L50:M50"/>
    <mergeCell ref="N50:O50"/>
    <mergeCell ref="L46:S46"/>
    <mergeCell ref="P50:Q50"/>
    <mergeCell ref="R50:S50"/>
    <mergeCell ref="A4:K4"/>
    <mergeCell ref="L4:S4"/>
    <mergeCell ref="T4:AA4"/>
    <mergeCell ref="A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7:I7"/>
    <mergeCell ref="J7:K7"/>
    <mergeCell ref="T7:U7"/>
    <mergeCell ref="N7:O7"/>
    <mergeCell ref="P7:Q7"/>
    <mergeCell ref="R7:S7"/>
    <mergeCell ref="V7:W7"/>
    <mergeCell ref="X7:Y7"/>
    <mergeCell ref="Z7:AA7"/>
    <mergeCell ref="A8:I8"/>
    <mergeCell ref="J8:K8"/>
    <mergeCell ref="T8:U8"/>
    <mergeCell ref="N8:O8"/>
    <mergeCell ref="P8:Q8"/>
    <mergeCell ref="R8:S8"/>
    <mergeCell ref="Z8:AA8"/>
    <mergeCell ref="L8:M8"/>
    <mergeCell ref="A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42:I42"/>
    <mergeCell ref="J42:K42"/>
    <mergeCell ref="L42:M42"/>
    <mergeCell ref="N42:O42"/>
    <mergeCell ref="P42:Q42"/>
    <mergeCell ref="R42:S42"/>
    <mergeCell ref="T42:U42"/>
    <mergeCell ref="V42:W42"/>
    <mergeCell ref="P43:Q43"/>
    <mergeCell ref="R43:S43"/>
    <mergeCell ref="T43:U43"/>
    <mergeCell ref="V43:W43"/>
    <mergeCell ref="A43:I43"/>
    <mergeCell ref="J43:K43"/>
    <mergeCell ref="L43:M43"/>
    <mergeCell ref="N43:O43"/>
    <mergeCell ref="T44:U44"/>
    <mergeCell ref="V44:W44"/>
    <mergeCell ref="X42:Y42"/>
    <mergeCell ref="Z42:AA42"/>
    <mergeCell ref="A44:I44"/>
    <mergeCell ref="J44:K44"/>
    <mergeCell ref="L44:M44"/>
    <mergeCell ref="N44:O44"/>
    <mergeCell ref="R45:S45"/>
    <mergeCell ref="T45:U45"/>
    <mergeCell ref="V45:W45"/>
    <mergeCell ref="X45:Y45"/>
    <mergeCell ref="J45:K45"/>
    <mergeCell ref="L45:M45"/>
    <mergeCell ref="N45:O45"/>
    <mergeCell ref="P45:Q45"/>
    <mergeCell ref="X6:Y6"/>
    <mergeCell ref="Z6:AA6"/>
    <mergeCell ref="L7:M7"/>
    <mergeCell ref="X44:Y44"/>
    <mergeCell ref="P6:Q6"/>
    <mergeCell ref="Z44:AA44"/>
    <mergeCell ref="X43:Y43"/>
    <mergeCell ref="Z43:AA43"/>
    <mergeCell ref="P44:Q44"/>
    <mergeCell ref="R44:S44"/>
    <mergeCell ref="A6:I6"/>
    <mergeCell ref="J6:K6"/>
    <mergeCell ref="L6:M6"/>
    <mergeCell ref="N6:O6"/>
    <mergeCell ref="R6:S6"/>
    <mergeCell ref="T6:U6"/>
    <mergeCell ref="V6:W6"/>
    <mergeCell ref="V8:W8"/>
    <mergeCell ref="X8:Y8"/>
    <mergeCell ref="AB4:AI4"/>
    <mergeCell ref="AB5:AC5"/>
    <mergeCell ref="AD5:AE5"/>
    <mergeCell ref="AF5:AG5"/>
    <mergeCell ref="AH5:AI5"/>
    <mergeCell ref="AB6:AC6"/>
    <mergeCell ref="AD6:AE6"/>
    <mergeCell ref="AF6:AG6"/>
    <mergeCell ref="AH6:AI6"/>
    <mergeCell ref="AB7:AC7"/>
    <mergeCell ref="AD7:AE7"/>
    <mergeCell ref="AF7:AG7"/>
    <mergeCell ref="AH7:AI7"/>
    <mergeCell ref="AB8:AC8"/>
    <mergeCell ref="AD8:AE8"/>
    <mergeCell ref="AF8:AG8"/>
    <mergeCell ref="AH8:AI8"/>
    <mergeCell ref="AB9:AC9"/>
    <mergeCell ref="AD9:AE9"/>
    <mergeCell ref="AF9:AG9"/>
    <mergeCell ref="AH9:AI9"/>
    <mergeCell ref="AB10:AC10"/>
    <mergeCell ref="AD10:AE10"/>
    <mergeCell ref="AF10:AG10"/>
    <mergeCell ref="AH10:AI10"/>
    <mergeCell ref="AB11:AC11"/>
    <mergeCell ref="AD11:AE11"/>
    <mergeCell ref="AF11:AG11"/>
    <mergeCell ref="AH11:AI11"/>
    <mergeCell ref="AB12:AC12"/>
    <mergeCell ref="AD12:AE12"/>
    <mergeCell ref="AF12:AG12"/>
    <mergeCell ref="AH12:AI12"/>
    <mergeCell ref="AB13:AC13"/>
    <mergeCell ref="AD13:AE13"/>
    <mergeCell ref="AF13:AG13"/>
    <mergeCell ref="AH13:AI13"/>
    <mergeCell ref="AB14:AC14"/>
    <mergeCell ref="AD14:AE14"/>
    <mergeCell ref="AF14:AG14"/>
    <mergeCell ref="AH14:AI14"/>
    <mergeCell ref="AB15:AC15"/>
    <mergeCell ref="AD15:AE15"/>
    <mergeCell ref="AF15:AG15"/>
    <mergeCell ref="AH15:AI15"/>
    <mergeCell ref="AB16:AC16"/>
    <mergeCell ref="AD16:AE16"/>
    <mergeCell ref="AF16:AG16"/>
    <mergeCell ref="AH16:AI16"/>
    <mergeCell ref="AB17:AC17"/>
    <mergeCell ref="AD17:AE17"/>
    <mergeCell ref="AF17:AG17"/>
    <mergeCell ref="AH17:AI17"/>
    <mergeCell ref="AB18:AC18"/>
    <mergeCell ref="AD18:AE18"/>
    <mergeCell ref="AF18:AG18"/>
    <mergeCell ref="AH18:AI18"/>
    <mergeCell ref="AB19:AC19"/>
    <mergeCell ref="AD19:AE19"/>
    <mergeCell ref="AF19:AG19"/>
    <mergeCell ref="AH19:AI19"/>
    <mergeCell ref="AB20:AC20"/>
    <mergeCell ref="AD20:AE20"/>
    <mergeCell ref="AF20:AG20"/>
    <mergeCell ref="AH20:AI20"/>
    <mergeCell ref="AB21:AC21"/>
    <mergeCell ref="AD21:AE21"/>
    <mergeCell ref="AF21:AG21"/>
    <mergeCell ref="AH21:AI21"/>
    <mergeCell ref="AB22:AC22"/>
    <mergeCell ref="AD22:AE22"/>
    <mergeCell ref="AF22:AG22"/>
    <mergeCell ref="AH22:AI22"/>
    <mergeCell ref="AB23:AC23"/>
    <mergeCell ref="AD23:AE23"/>
    <mergeCell ref="AF23:AG23"/>
    <mergeCell ref="AH23:AI23"/>
    <mergeCell ref="AB24:AC24"/>
    <mergeCell ref="AD24:AE24"/>
    <mergeCell ref="AF24:AG24"/>
    <mergeCell ref="AH24:AI24"/>
    <mergeCell ref="AB25:AC25"/>
    <mergeCell ref="AD25:AE25"/>
    <mergeCell ref="AF25:AG25"/>
    <mergeCell ref="AH25:AI25"/>
    <mergeCell ref="AB26:AC26"/>
    <mergeCell ref="AD26:AE26"/>
    <mergeCell ref="AF26:AG26"/>
    <mergeCell ref="AH26:AI26"/>
    <mergeCell ref="AB27:AC27"/>
    <mergeCell ref="AD27:AE27"/>
    <mergeCell ref="AF27:AG27"/>
    <mergeCell ref="AH27:AI27"/>
    <mergeCell ref="AB28:AC28"/>
    <mergeCell ref="AD28:AE28"/>
    <mergeCell ref="AF28:AG28"/>
    <mergeCell ref="AH28:AI28"/>
    <mergeCell ref="AB29:AC29"/>
    <mergeCell ref="AD29:AE29"/>
    <mergeCell ref="AF29:AG29"/>
    <mergeCell ref="AH29:AI29"/>
    <mergeCell ref="AB30:AC30"/>
    <mergeCell ref="AD30:AE30"/>
    <mergeCell ref="AF30:AG30"/>
    <mergeCell ref="AH30:AI30"/>
    <mergeCell ref="AB31:AC31"/>
    <mergeCell ref="AD31:AE31"/>
    <mergeCell ref="AF31:AG31"/>
    <mergeCell ref="AH31:AI31"/>
    <mergeCell ref="AB32:AC32"/>
    <mergeCell ref="AD32:AE32"/>
    <mergeCell ref="AF32:AG32"/>
    <mergeCell ref="AH32:AI32"/>
    <mergeCell ref="AB33:AC33"/>
    <mergeCell ref="AD33:AE33"/>
    <mergeCell ref="AF33:AG33"/>
    <mergeCell ref="AH33:AI33"/>
    <mergeCell ref="AB34:AC34"/>
    <mergeCell ref="AD34:AE34"/>
    <mergeCell ref="AF34:AG34"/>
    <mergeCell ref="AH34:AI34"/>
    <mergeCell ref="AB35:AC35"/>
    <mergeCell ref="AD35:AE35"/>
    <mergeCell ref="AF35:AG35"/>
    <mergeCell ref="AH35:AI35"/>
    <mergeCell ref="AB36:AC36"/>
    <mergeCell ref="AD36:AE36"/>
    <mergeCell ref="AF36:AG36"/>
    <mergeCell ref="AH36:AI36"/>
    <mergeCell ref="AB37:AC37"/>
    <mergeCell ref="AD37:AE37"/>
    <mergeCell ref="AF37:AG37"/>
    <mergeCell ref="AH37:AI37"/>
    <mergeCell ref="AB38:AC38"/>
    <mergeCell ref="AD38:AE38"/>
    <mergeCell ref="AF38:AG38"/>
    <mergeCell ref="AH38:AI38"/>
    <mergeCell ref="AF40:AG40"/>
    <mergeCell ref="AH40:AI40"/>
    <mergeCell ref="AB39:AC39"/>
    <mergeCell ref="AD39:AE39"/>
    <mergeCell ref="AF39:AG39"/>
    <mergeCell ref="AH39:AI39"/>
    <mergeCell ref="AJ7:AJ16"/>
    <mergeCell ref="A45:I45"/>
    <mergeCell ref="AF47:AG47"/>
    <mergeCell ref="AB47:AC47"/>
    <mergeCell ref="AB45:AC45"/>
    <mergeCell ref="AD45:AE45"/>
    <mergeCell ref="AF45:AG45"/>
    <mergeCell ref="AB44:AC44"/>
    <mergeCell ref="AD44:AE44"/>
    <mergeCell ref="AF44:AG44"/>
    <mergeCell ref="AJ17:AJ32"/>
    <mergeCell ref="AH44:AI44"/>
    <mergeCell ref="AB43:AC43"/>
    <mergeCell ref="AD43:AE43"/>
    <mergeCell ref="AF43:AG43"/>
    <mergeCell ref="AH43:AI43"/>
    <mergeCell ref="AB42:AC42"/>
    <mergeCell ref="AD42:AE42"/>
    <mergeCell ref="AF42:AG42"/>
    <mergeCell ref="AH42:AI42"/>
    <mergeCell ref="AK40:AT40"/>
    <mergeCell ref="AH45:AI45"/>
    <mergeCell ref="Z45:AA45"/>
    <mergeCell ref="T46:AA46"/>
    <mergeCell ref="AB41:AC41"/>
    <mergeCell ref="AD41:AE41"/>
    <mergeCell ref="AF41:AG41"/>
    <mergeCell ref="AH41:AI41"/>
    <mergeCell ref="AB40:AC40"/>
    <mergeCell ref="AD40:AE40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Ваш помощник</cp:lastModifiedBy>
  <cp:lastPrinted>2010-02-23T19:34:42Z</cp:lastPrinted>
  <dcterms:created xsi:type="dcterms:W3CDTF">2010-01-22T05:53:14Z</dcterms:created>
  <dcterms:modified xsi:type="dcterms:W3CDTF">2012-11-01T16:18:34Z</dcterms:modified>
  <cp:category/>
  <cp:version/>
  <cp:contentType/>
  <cp:contentStatus/>
</cp:coreProperties>
</file>